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ILLERØD VAND AS (V081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C30" i="2" s="1"/>
  <c r="E37" i="32" l="1"/>
  <c r="C23" i="22" s="1"/>
  <c r="C16" i="19"/>
  <c r="C24" i="15" l="1"/>
  <c r="C23" i="23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7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<sst xmlns="http://schemas.openxmlformats.org/spreadsheetml/2006/main" count="627" uniqueCount="257">
  <si>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</si>
  <si>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</si>
  <si>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</si>
  <si>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</si>
  <si>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</si>
  <si>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</si>
  <si>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</si>
  <si>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</si>
  <si>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</si>
  <si>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</si>
  <si>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</si>
  <si>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</si>
  <si>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</si>
  <si>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</si>
  <si>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</si>
  <si>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</si>
  <si>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</si>
  <si>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</si>
  <si>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</si>
  <si>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</si>
  <si>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</si>
  <si>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</si>
  <si>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</si>
  <si>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</si>
  <si>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</si>
  <si>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</si>
  <si>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</si>
  <si>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</si>
  <si>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</si>
  <si>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</si>
  <si>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</si>
  <si>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</si>
  <si>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</si>
  <si>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</si>
  <si>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</si>
  <si>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</si>
  <si>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</si>
  <si>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</si>
  <si>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</si>
  <si>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</si>
  <si>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</si>
  <si>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</si>
  <si>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</si>
  <si>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</si>
  <si>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</si>
  <si>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</si>
  <si>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</si>
  <si>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</si>
  <si>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</si>
  <si>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</si>
  <si>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</si>
  <si>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</si>
  <si>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</si>
  <si>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</si>
  <si>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</si>
  <si>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</si>
  <si>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</si>
  <si>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</si>
  <si>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</si>
  <si>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</si>
  <si>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</si>
  <si>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</si>
  <si>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</si>
  <si>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</si>
  <si>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</si>
  <si>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</si>
  <si>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</si>
  <si>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</si>
  <si>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</si>
  <si>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</si>
  <si>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</si>
  <si>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</si>
  <si>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</si>
  <si>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</si>
  <si>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</si>
  <si>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</si>
  <si>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</si>
  <si>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</si>
  <si>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</si>
  <si>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</si>
  <si>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</si>
  <si>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</si>
  <si>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</si>
  <si>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</si>
  <si>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</si>
  <si>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</si>
  <si>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</si>
  <si>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</si>
  <si>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</si>
  <si>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</si>
  <si>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</si>
  <si>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</si>
  <si>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</si>
  <si>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</si>
  <si>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</si>
  <si>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</si>
  <si>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</si>
  <si>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</si>
  <si>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</si>
  <si>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</si>
  <si>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</si>
  <si>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</si>
  <si>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</si>
  <si>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</si>
  <si>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</si>
  <si>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</si>
  <si>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</si>
  <si>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</si>
  <si>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</si>
  <si>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</si>
  <si>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</si>
  <si>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</si>
  <si>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</si>
  <si>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</si>
  <si>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</si>
  <si>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</si>
  <si>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</si>
  <si>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</si>
  <si>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</si>
  <si>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</si>
  <si>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</si>
  <si>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</si>
  <si>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</si>
  <si>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</si>
  <si>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</si>
  <si>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</si>
  <si>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</si>
  <si>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</si>
  <si>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</si>
  <si>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</si>
  <si>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</si>
  <si>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</si>
  <si>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</si>
  <si>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</si>
  <si>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</si>
  <si>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</si>
  <si>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</si>
  <si>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</si>
  <si>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</si>
  <si>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</si>
  <si>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</si>
  <si>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</si>
  <si>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</si>
  <si>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</si>
  <si>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</si>
  <si>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</si>
  <si>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</si>
  <si>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</si>
  <si>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</si>
  <si>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</si>
  <si>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</si>
  <si>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</si>
  <si>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</si>
  <si>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</si>
  <si>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</si>
  <si>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</si>
  <si>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</si>
  <si>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</si>
  <si>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</si>
  <si>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</si>
  <si>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</si>
  <si>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</si>
  <si>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</si>
  <si>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</si>
  <si>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</si>
  <si>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</si>
  <si>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</si>
  <si>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</si>
  <si>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</si>
  <si>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</si>
  <si>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</si>
  <si>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</si>
  <si>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</si>
  <si>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</si>
  <si>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</si>
  <si>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</si>
  <si>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</si>
  <si>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</si>
  <si>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</si>
  <si>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</si>
  <si>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</si>
  <si>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</si>
  <si>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</si>
  <si>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</si>
  <si>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</si>
  <si>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</si>
  <si>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</si>
  <si>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</si>
  <si>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</si>
  <si>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</si>
  <si>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</si>
  <si>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</si>
  <si>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</si>
  <si>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</si>
  <si>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</si>
  <si>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</si>
  <si>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</si>
  <si>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</si>
  <si>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</si>
  <si>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</si>
  <si>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</si>
  <si>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</si>
  <si>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</si>
  <si>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</si>
  <si>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</si>
  <si>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</si>
  <si>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</si>
  <si>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</si>
  <si>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</si>
  <si>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</si>
  <si>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</si>
  <si>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</si>
  <si>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</si>
  <si>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</si>
  <si>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</si>
  <si>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</si>
  <si>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</si>
  <si>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</si>
  <si>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</si>
  <si>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</si>
  <si>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</si>
  <si>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</si>
  <si>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</si>
  <si>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</si>
  <si>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</si>
  <si>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</si>
  <si>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</si>
  <si>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</si>
  <si>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</si>
  <si>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</si>
  <si>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</si>
  <si>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</si>
  <si>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Erstatninger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</si>
  <si>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</si>
  <si>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</si>
  <si>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</si>
  <si>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</si>
  <si>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</si>
  <si>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</si>
  <si>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</si>
  <si>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</si>
  <si>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</si>
  <si>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</si>
  <si>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</si>
  <si>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</si>
  <si>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</si>
  <si>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</si>
  <si>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</si>
  <si>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</si>
  <si>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 xml:space="preserve">Flytning af ledninger </t>
  </si>
  <si>
    <t xml:space="preserve">Udvidelse af forsyningsområde 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</si>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</sst>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3" fontId="0" fillId="0" borderId="0" xfId="0" applyNumberForma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2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25">
      <c r="A8" s="1"/>
      <c r="B8" s="1"/>
      <c r="C8" s="4"/>
      <c r="D8" s="85" t="s">
        <v>256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2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2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25">
      <c r="A16" s="1"/>
      <c r="B16" s="1"/>
      <c r="C16" s="6" t="s">
        <v>36</v>
      </c>
      <c r="D16" s="80" t="s">
        <v>180</v>
      </c>
      <c r="E16" s="81"/>
      <c r="F16" s="81"/>
      <c r="G16" s="82"/>
      <c r="H16" s="1"/>
      <c r="I16" s="1"/>
    </row>
    <row r="17" spans="1:9" x14ac:dyDescent="0.25">
      <c r="A17" s="1"/>
      <c r="B17" s="1"/>
      <c r="C17" s="6" t="s">
        <v>127</v>
      </c>
      <c r="D17" s="80" t="s">
        <v>181</v>
      </c>
      <c r="E17" s="81"/>
      <c r="F17" s="81"/>
      <c r="G17" s="82"/>
      <c r="H17" s="1"/>
      <c r="I17" s="1"/>
    </row>
    <row r="18" spans="1:9" x14ac:dyDescent="0.2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2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2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2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25">
      <c r="A22" s="1"/>
      <c r="B22" s="1"/>
      <c r="C22" s="6" t="s">
        <v>87</v>
      </c>
      <c r="D22" s="71" t="s">
        <v>182</v>
      </c>
      <c r="E22" s="72"/>
      <c r="F22" s="72"/>
      <c r="G22" s="73"/>
      <c r="H22" s="1"/>
      <c r="I22" s="1"/>
    </row>
    <row r="23" spans="1:9" x14ac:dyDescent="0.2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2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2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2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2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2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VC1f4lgidRB5zx398PsXZBEyjd4x5nBUokvJd90kQjGy4mSjzEMVnUyAbQz3Ypsog6f5ZO0VJvtJXYHiM0qJw==" saltValue="4aVzibANLEn2LMpgzkqm/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2" t="s">
        <v>202</v>
      </c>
      <c r="C8" s="113"/>
      <c r="D8" s="114"/>
      <c r="E8" s="1"/>
      <c r="F8" s="1"/>
    </row>
    <row r="9" spans="1:6" ht="15" customHeight="1" x14ac:dyDescent="0.25">
      <c r="A9" s="1"/>
      <c r="B9" s="52" t="s">
        <v>33</v>
      </c>
      <c r="C9" s="11" t="s">
        <v>203</v>
      </c>
      <c r="D9" s="11"/>
      <c r="E9" s="1"/>
      <c r="F9" s="1"/>
    </row>
    <row r="10" spans="1:6" ht="15" customHeight="1" x14ac:dyDescent="0.25">
      <c r="A10" s="1"/>
      <c r="B10" s="63" t="s">
        <v>227</v>
      </c>
      <c r="C10" s="9">
        <v>10020702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228</v>
      </c>
      <c r="C11" s="9">
        <v>72375</v>
      </c>
      <c r="D11" s="14" t="s">
        <v>3</v>
      </c>
      <c r="E11" s="1"/>
      <c r="F11" s="1"/>
    </row>
    <row r="12" spans="1:6" ht="15" customHeight="1" x14ac:dyDescent="0.25">
      <c r="A12" s="1"/>
      <c r="B12" s="63" t="s">
        <v>229</v>
      </c>
      <c r="C12" s="9">
        <v>402474</v>
      </c>
      <c r="D12" s="14" t="s">
        <v>3</v>
      </c>
      <c r="E12" s="1"/>
      <c r="F12" s="1"/>
    </row>
    <row r="13" spans="1:6" x14ac:dyDescent="0.25">
      <c r="A13" s="1"/>
      <c r="B13" s="63" t="s">
        <v>230</v>
      </c>
      <c r="C13" s="9">
        <v>138226</v>
      </c>
      <c r="D13" s="14" t="s">
        <v>3</v>
      </c>
      <c r="E13" s="1"/>
      <c r="F13" s="1"/>
    </row>
    <row r="14" spans="1:6" x14ac:dyDescent="0.25">
      <c r="A14" s="1"/>
      <c r="B14" s="63" t="s">
        <v>231</v>
      </c>
      <c r="C14" s="9">
        <v>29629</v>
      </c>
      <c r="D14" s="14" t="s">
        <v>3</v>
      </c>
      <c r="E14" s="1"/>
      <c r="F14" s="1"/>
    </row>
    <row r="15" spans="1:6" x14ac:dyDescent="0.25">
      <c r="A15" s="1"/>
      <c r="B15" s="63" t="s">
        <v>232</v>
      </c>
      <c r="C15" s="9">
        <v>111631</v>
      </c>
      <c r="D15" s="14" t="s">
        <v>3</v>
      </c>
      <c r="E15" s="1"/>
      <c r="F15" s="1"/>
    </row>
    <row r="16" spans="1:6" x14ac:dyDescent="0.25">
      <c r="A16" s="1"/>
      <c r="B16" s="55" t="s">
        <v>204</v>
      </c>
      <c r="C16" s="12">
        <f>SUM(C10:C15)</f>
        <v>10775037</v>
      </c>
      <c r="D16" s="13" t="s">
        <v>3</v>
      </c>
      <c r="E16" s="1"/>
      <c r="F16" s="1"/>
    </row>
    <row r="17" spans="1:6" x14ac:dyDescent="0.25">
      <c r="A17" s="1"/>
      <c r="B17" s="55" t="s">
        <v>205</v>
      </c>
      <c r="C17" s="12">
        <f>C16*(1+'Fane 12. Nøgletal'!C14)^2</f>
        <v>10846269.584352931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pFH/2QhsemsLPaCr20q5jKyZDEyymVQwMmMj8i2sIDApwN/3TDYtufnDxGPMx6Ch6Hj9HrWFNQHvbt5IBF22QQ==" saltValue="A3X7s72MMh1shZKuIfq2m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97" t="s">
        <v>220</v>
      </c>
      <c r="C3" s="97"/>
      <c r="D3" s="97"/>
      <c r="E3" s="97"/>
      <c r="F3" s="97"/>
      <c r="G3" s="1"/>
    </row>
    <row r="4" spans="1:7" ht="15" customHeight="1" x14ac:dyDescent="0.25">
      <c r="A4" s="1"/>
      <c r="B4" s="97"/>
      <c r="C4" s="97"/>
      <c r="D4" s="97"/>
      <c r="E4" s="97"/>
      <c r="F4" s="97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234</v>
      </c>
      <c r="C8" s="113"/>
      <c r="D8" s="113"/>
      <c r="E8" s="113"/>
      <c r="F8" s="114"/>
      <c r="G8" s="1"/>
    </row>
    <row r="9" spans="1:7" x14ac:dyDescent="0.25">
      <c r="A9" s="1"/>
      <c r="B9" s="115" t="s">
        <v>235</v>
      </c>
      <c r="C9" s="116"/>
      <c r="D9" s="117"/>
      <c r="E9" s="9">
        <v>-1020569.0800072476</v>
      </c>
      <c r="F9" s="14" t="s">
        <v>3</v>
      </c>
      <c r="G9" s="1"/>
    </row>
    <row r="10" spans="1:7" x14ac:dyDescent="0.25">
      <c r="A10" s="1"/>
      <c r="B10" s="115" t="s">
        <v>236</v>
      </c>
      <c r="C10" s="116"/>
      <c r="D10" s="117"/>
      <c r="E10" s="9">
        <v>-1314568.9602364078</v>
      </c>
      <c r="F10" s="14" t="s">
        <v>3</v>
      </c>
      <c r="G10" s="1"/>
    </row>
    <row r="11" spans="1:7" x14ac:dyDescent="0.25">
      <c r="A11" s="1"/>
      <c r="B11" s="115" t="s">
        <v>237</v>
      </c>
      <c r="C11" s="116"/>
      <c r="D11" s="117"/>
      <c r="E11" s="9">
        <v>353908.52496302128</v>
      </c>
      <c r="F11" s="14" t="s">
        <v>3</v>
      </c>
      <c r="G11" s="1"/>
    </row>
    <row r="12" spans="1:7" x14ac:dyDescent="0.25">
      <c r="A12" s="1"/>
      <c r="B12" s="115" t="s">
        <v>238</v>
      </c>
      <c r="C12" s="116"/>
      <c r="D12" s="117"/>
      <c r="E12" s="9">
        <f>IF(OR(AND(E10&gt;0,E11&lt;0),AND(E11&lt;0,E34&gt;0)),E17+E18,E11)</f>
        <v>353908.52496302128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101" t="s">
        <v>239</v>
      </c>
      <c r="C14" s="102"/>
      <c r="D14" s="102"/>
      <c r="E14" s="102"/>
      <c r="F14" s="10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240</v>
      </c>
      <c r="C16" s="113"/>
      <c r="D16" s="113"/>
      <c r="E16" s="113"/>
      <c r="F16" s="114"/>
      <c r="G16" s="1"/>
    </row>
    <row r="17" spans="1:8" x14ac:dyDescent="0.25">
      <c r="A17" s="1"/>
      <c r="B17" s="115" t="s">
        <v>241</v>
      </c>
      <c r="C17" s="116"/>
      <c r="D17" s="117"/>
      <c r="E17" s="9">
        <v>-657284.48011820391</v>
      </c>
      <c r="F17" s="14" t="s">
        <v>3</v>
      </c>
      <c r="G17" s="1"/>
    </row>
    <row r="18" spans="1:8" x14ac:dyDescent="0.25">
      <c r="A18" s="1"/>
      <c r="B18" s="115" t="s">
        <v>242</v>
      </c>
      <c r="C18" s="116"/>
      <c r="D18" s="117"/>
      <c r="E18" s="9">
        <v>-657284.48011820391</v>
      </c>
      <c r="F18" s="14" t="s">
        <v>3</v>
      </c>
      <c r="G18" s="1"/>
    </row>
    <row r="19" spans="1:8" x14ac:dyDescent="0.25">
      <c r="A19" s="1"/>
      <c r="B19" s="55"/>
      <c r="C19" s="56"/>
      <c r="D19" s="56"/>
      <c r="E19" s="56"/>
      <c r="F19" s="20"/>
      <c r="G19" s="1"/>
      <c r="H19" s="46"/>
    </row>
    <row r="20" spans="1:8" ht="30" customHeight="1" x14ac:dyDescent="0.25">
      <c r="A20" s="1"/>
      <c r="B20" s="101" t="s">
        <v>243</v>
      </c>
      <c r="C20" s="102"/>
      <c r="D20" s="102"/>
      <c r="E20" s="102"/>
      <c r="F20" s="103"/>
      <c r="G20" s="1"/>
    </row>
    <row r="21" spans="1:8" ht="28.5" customHeight="1" x14ac:dyDescent="0.25">
      <c r="A21" s="1"/>
      <c r="B21" s="1"/>
      <c r="C21" s="1"/>
      <c r="D21" s="1"/>
      <c r="E21" s="1"/>
      <c r="F21" s="1"/>
      <c r="G21" s="1"/>
    </row>
    <row r="22" spans="1:8" x14ac:dyDescent="0.25">
      <c r="A22" s="1"/>
      <c r="B22" s="57" t="s">
        <v>206</v>
      </c>
      <c r="C22" s="58"/>
      <c r="D22" s="58"/>
      <c r="E22" s="58"/>
      <c r="F22" s="59"/>
      <c r="G22" s="1"/>
    </row>
    <row r="23" spans="1:8" x14ac:dyDescent="0.25">
      <c r="A23" s="1"/>
      <c r="B23" s="60" t="s">
        <v>207</v>
      </c>
      <c r="C23" s="61"/>
      <c r="D23" s="62"/>
      <c r="E23" s="9">
        <v>34667656.556511849</v>
      </c>
      <c r="F23" s="14" t="s">
        <v>3</v>
      </c>
      <c r="G23" s="1"/>
    </row>
    <row r="24" spans="1:8" x14ac:dyDescent="0.25">
      <c r="A24" s="1"/>
      <c r="B24" s="60" t="s">
        <v>208</v>
      </c>
      <c r="C24" s="61"/>
      <c r="D24" s="62"/>
      <c r="E24" s="9">
        <v>36077699</v>
      </c>
      <c r="F24" s="14" t="s">
        <v>3</v>
      </c>
      <c r="G24" s="1"/>
    </row>
    <row r="25" spans="1:8" x14ac:dyDescent="0.25">
      <c r="A25" s="1"/>
      <c r="B25" s="60" t="s">
        <v>34</v>
      </c>
      <c r="C25" s="61"/>
      <c r="D25" s="62"/>
      <c r="E25" s="9">
        <v>1056133</v>
      </c>
      <c r="F25" s="14" t="s">
        <v>3</v>
      </c>
      <c r="G25" s="1"/>
    </row>
    <row r="26" spans="1:8" x14ac:dyDescent="0.25">
      <c r="A26" s="1"/>
      <c r="B26" s="64" t="s">
        <v>253</v>
      </c>
      <c r="C26" s="65"/>
      <c r="D26" s="66"/>
      <c r="E26" s="45">
        <f>E23-(E24-E25)</f>
        <v>-353909.44348815084</v>
      </c>
      <c r="F26" s="17" t="s">
        <v>3</v>
      </c>
      <c r="G26" s="1"/>
    </row>
    <row r="27" spans="1:8" x14ac:dyDescent="0.25">
      <c r="A27" s="1"/>
      <c r="B27" s="55"/>
      <c r="C27" s="56"/>
      <c r="D27" s="56"/>
      <c r="E27" s="56"/>
      <c r="F27" s="20"/>
      <c r="G27" s="1"/>
    </row>
    <row r="28" spans="1:8" x14ac:dyDescent="0.25">
      <c r="A28" s="1"/>
      <c r="B28" s="1"/>
      <c r="C28" s="1"/>
      <c r="D28" s="1"/>
      <c r="E28" s="1"/>
      <c r="F28" s="1"/>
      <c r="G28" s="1"/>
    </row>
    <row r="29" spans="1:8" x14ac:dyDescent="0.25">
      <c r="A29" s="1"/>
      <c r="B29" s="112" t="s">
        <v>244</v>
      </c>
      <c r="C29" s="113"/>
      <c r="D29" s="113"/>
      <c r="E29" s="113"/>
      <c r="F29" s="114"/>
      <c r="G29" s="1"/>
    </row>
    <row r="30" spans="1:8" x14ac:dyDescent="0.25">
      <c r="A30" s="1"/>
      <c r="B30" s="133" t="s">
        <v>245</v>
      </c>
      <c r="C30" s="134"/>
      <c r="D30" s="135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8" x14ac:dyDescent="0.25">
      <c r="A31" s="1"/>
      <c r="B31" s="112"/>
      <c r="C31" s="113"/>
      <c r="D31" s="113"/>
      <c r="E31" s="113"/>
      <c r="F31" s="114"/>
      <c r="G31" s="1"/>
    </row>
    <row r="32" spans="1:8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2" t="s">
        <v>246</v>
      </c>
      <c r="C33" s="113"/>
      <c r="D33" s="113"/>
      <c r="E33" s="113"/>
      <c r="F33" s="114"/>
      <c r="G33" s="1"/>
    </row>
    <row r="34" spans="1:7" x14ac:dyDescent="0.25">
      <c r="A34" s="1"/>
      <c r="B34" s="137" t="s">
        <v>254</v>
      </c>
      <c r="C34" s="138"/>
      <c r="D34" s="139"/>
      <c r="E34" s="9">
        <v>0</v>
      </c>
      <c r="F34" s="14"/>
      <c r="G34" s="1"/>
    </row>
    <row r="35" spans="1:7" x14ac:dyDescent="0.2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-0.91852512955665588</v>
      </c>
      <c r="F35" s="14" t="s">
        <v>3</v>
      </c>
      <c r="G35" s="1"/>
    </row>
    <row r="36" spans="1:7" x14ac:dyDescent="0.2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25">
      <c r="A37" s="1"/>
      <c r="B37" s="136" t="s">
        <v>160</v>
      </c>
      <c r="C37" s="136"/>
      <c r="D37" s="136"/>
      <c r="E37" s="10">
        <f>E35/E36</f>
        <v>-0.22963128238916397</v>
      </c>
      <c r="F37" s="17" t="s">
        <v>3</v>
      </c>
      <c r="G37" s="1"/>
    </row>
    <row r="38" spans="1:7" x14ac:dyDescent="0.25">
      <c r="A38" s="1"/>
      <c r="B38" s="130"/>
      <c r="C38" s="131"/>
      <c r="D38" s="131"/>
      <c r="E38" s="131"/>
      <c r="F38" s="132"/>
      <c r="G38" s="1"/>
    </row>
    <row r="39" spans="1:7" ht="75" customHeight="1" x14ac:dyDescent="0.25">
      <c r="A39" s="1"/>
      <c r="B39" s="101" t="s">
        <v>252</v>
      </c>
      <c r="C39" s="102"/>
      <c r="D39" s="102"/>
      <c r="E39" s="102"/>
      <c r="F39" s="10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2u7My8W4MpJDL6eaMxrH6QzxBty12JtAerLa8fFrKJoHyL57bKR0axh0YcIaXEhZ40E9nTMSByA+Qce58DJ8UQ==" saltValue="M5qu5ywOx3BobtSvU/RLPg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255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Rev+Sm57Ymb5F9QaA/g2lnCjm2oEczhGYcNvGmlOsxdsQFT2JGL/yUjaqi2Ocalh66KfIfRBqdPrtAubwNLLmw==" saltValue="pGXh34bVyJIlbn5KkZfHH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249</v>
      </c>
      <c r="C11" s="22">
        <v>0</v>
      </c>
      <c r="D11" s="14" t="s">
        <v>3</v>
      </c>
      <c r="E11" s="9">
        <v>11490</v>
      </c>
      <c r="F11" s="14" t="s">
        <v>3</v>
      </c>
      <c r="G11" s="1"/>
    </row>
    <row r="12" spans="1:7" x14ac:dyDescent="0.25">
      <c r="A12" s="1"/>
      <c r="B12" s="25" t="s">
        <v>250</v>
      </c>
      <c r="C12" s="22">
        <v>1101796</v>
      </c>
      <c r="D12" s="14" t="s">
        <v>3</v>
      </c>
      <c r="E12" s="9">
        <v>74821</v>
      </c>
      <c r="F12" s="14" t="s">
        <v>3</v>
      </c>
      <c r="G12" s="1"/>
    </row>
    <row r="13" spans="1:7" x14ac:dyDescent="0.25">
      <c r="A13" s="1"/>
      <c r="B13" s="55" t="s">
        <v>136</v>
      </c>
      <c r="C13" s="12">
        <f>SUM(C10:C12)</f>
        <v>1101796</v>
      </c>
      <c r="D13" s="13" t="s">
        <v>3</v>
      </c>
      <c r="E13" s="12">
        <f>SUM(E10:E12)</f>
        <v>86311</v>
      </c>
      <c r="F13" s="13" t="s">
        <v>3</v>
      </c>
      <c r="G13" s="1"/>
    </row>
    <row r="14" spans="1:7" x14ac:dyDescent="0.25">
      <c r="A14" s="1"/>
      <c r="B14" s="55" t="s">
        <v>209</v>
      </c>
      <c r="C14" s="12">
        <f>C13*(1+'Fane 12. Nøgletal'!C14)</f>
        <v>1105431.9268</v>
      </c>
      <c r="D14" s="13" t="s">
        <v>3</v>
      </c>
      <c r="E14" s="12">
        <f>E13*(1+'Fane 12. Nøgletal'!C14)</f>
        <v>86595.826300000001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L+c/5u92BJ1JHZuRHB9iML3XFkHzrtNieOHkpZz2cCURxcCN+LhOu04hgN5D0A6ptps0ZgxEMGlmuwSsEk2wEQ==" saltValue="ddSjal92diDVZsiUZ8ddL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102</v>
      </c>
      <c r="C8" s="113"/>
      <c r="D8" s="113"/>
      <c r="E8" s="113"/>
      <c r="F8" s="114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251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251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251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2" t="s">
        <v>211</v>
      </c>
      <c r="C32" s="113"/>
      <c r="D32" s="113"/>
      <c r="E32" s="113"/>
      <c r="F32" s="114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251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nJ/MdgFoTL5jLCcUilaMj44St0ebKE9s5qOsBvL+cW0hrSiE0xrHrw5x7Ob1/tTGIj/zPWNK21vPrPl/w42KA==" saltValue="XxX/e4HVq2JCNWYs8gKFF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25">
      <c r="A9" s="1"/>
      <c r="B9" s="48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2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egoU1aEAGzAwi6vXEkQBT9sSV2z459IMMrK5Zg9DBNU+tMfAZ4eSRyROkir6owtd4bJhHUr7SqgrANMTHZgZ7g==" saltValue="bt+cC3Cpd2QZBm6b8BM0l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2" t="s">
        <v>99</v>
      </c>
      <c r="C15" s="113"/>
      <c r="D15" s="113"/>
      <c r="E15" s="113"/>
      <c r="F15" s="114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2" t="s">
        <v>142</v>
      </c>
      <c r="C22" s="113"/>
      <c r="D22" s="113"/>
      <c r="E22" s="113"/>
      <c r="F22" s="114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2" t="s">
        <v>214</v>
      </c>
      <c r="C29" s="113"/>
      <c r="D29" s="113"/>
      <c r="E29" s="113"/>
      <c r="F29" s="114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Kc5yyFH/PKqG+f8d6SbkZQ51xJcyvJp+3AIG3PLsvQQPLJ1ozWmPQX37zgFsfigPaRwMhhETP8pfcJ6TBKzddA==" saltValue="WHe047+4A3rRbJtMcFLVj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97" t="s">
        <v>164</v>
      </c>
      <c r="C3" s="97"/>
      <c r="D3" s="1"/>
    </row>
    <row r="4" spans="1:4" ht="25.5" customHeight="1" x14ac:dyDescent="0.25">
      <c r="A4" s="1"/>
      <c r="B4" s="97"/>
      <c r="C4" s="97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216</v>
      </c>
      <c r="C14" s="70">
        <v>3.3E-3</v>
      </c>
      <c r="D14" s="1"/>
    </row>
    <row r="15" spans="1:4" x14ac:dyDescent="0.25">
      <c r="A15" s="1"/>
      <c r="B15" s="112"/>
      <c r="C15" s="114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217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iwV4uhtuQIAOw7LbxF5MD3xkiySekC3aT582mzl02YUYmS/Ifol3Ji/x8pG9Wac+4YE2YDjs0UMXkciCiU5XVg==" saltValue="v+NsI8WFsmunXc+LY3btv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183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22385855.790693041</v>
      </c>
      <c r="D9" s="8" t="s">
        <v>3</v>
      </c>
      <c r="E9" s="1"/>
    </row>
    <row r="10" spans="1:5" x14ac:dyDescent="0.2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738518.08162164479</v>
      </c>
      <c r="D10" s="8" t="s">
        <v>3</v>
      </c>
      <c r="E10" s="1"/>
    </row>
    <row r="11" spans="1:5" x14ac:dyDescent="0.2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88676.515553446792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1105431.9268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86595.826300000001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277041.1322316851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-477098.49352049455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-217602.52852119846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-391218.23460042779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22769005.419382606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omk.'!C17</f>
        <v>10846269.584352931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224</v>
      </c>
      <c r="C31" s="56"/>
      <c r="D31" s="20"/>
      <c r="E31" s="1"/>
    </row>
    <row r="32" spans="1:5" x14ac:dyDescent="0.2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33615275.003735535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UPcX5Q7IKptFwQHqCxWzMmTCkBEOWX0nQKI2riLWDe2fGUDTZ+VL1EREvqcdyr58qi6PHUh8eoerUO99joMT5g==" saltValue="lKJHAPea7J+97mxi6C+Jf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22769005.419382606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75137.717883962599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-456882.86274533137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-213954.20452801205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-206027.99483541524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21967278.075157814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omk.'!C17*(1+'Fane 12. Nøgletal'!C14)</f>
        <v>10882062.273981297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-0.22963128238916397</v>
      </c>
      <c r="D24" s="11" t="s">
        <v>3</v>
      </c>
      <c r="E24" s="1"/>
    </row>
    <row r="25" spans="1:5" x14ac:dyDescent="0.25">
      <c r="A25" s="1"/>
      <c r="B25" s="36" t="s">
        <v>224</v>
      </c>
      <c r="C25" s="56"/>
      <c r="D25" s="20"/>
      <c r="E25" s="1"/>
    </row>
    <row r="26" spans="1:5" x14ac:dyDescent="0.25">
      <c r="A26" s="1"/>
      <c r="B26" s="67" t="s">
        <v>225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32849340.119507827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myXBjmiYc0IF7GnY5ixkmmqJz270XVCv+UVfWVymo1cs+zzLPUOH+HiZ3tK0hZF6oklyq3YZw6RuCg5wAlIUQQ==" saltValue="lkjrB/8TsU9620yNjx5sD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21967278.075157814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72492.017648020788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-440795.40185611672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-210367.04833489546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-203648.61048754022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21184959.032127284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omk.'!C17*(1+'Fane 12. Nøgletal'!C14)^2</f>
        <v>10917973.079485435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-0.22963128238916397</v>
      </c>
      <c r="D23" s="11" t="s">
        <v>3</v>
      </c>
      <c r="E23" s="1"/>
    </row>
    <row r="24" spans="1:5" ht="15" customHeight="1" x14ac:dyDescent="0.25">
      <c r="A24" s="1"/>
      <c r="B24" s="36" t="s">
        <v>224</v>
      </c>
      <c r="C24" s="56"/>
      <c r="D24" s="20"/>
      <c r="E24" s="1"/>
    </row>
    <row r="25" spans="1:5" ht="15" customHeight="1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186</v>
      </c>
      <c r="C26" s="12">
        <f>SUM(C15,C17,C21,C23,C25)</f>
        <v>32102931.881981436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lyp2dHPW1HVI3blO5MUECaz9eXiGo1Yt1XJcD+iIMBZ5GKqbwwPQICM2I/DL0JdSTigtjtGmJsh48HC3y7aPug==" saltValue="3jgdU7nUN9iyBMNPXk9Uc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187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188</v>
      </c>
      <c r="C8" s="7">
        <f>'Fane 2.3. Økonomisk ramme 2024'!C15</f>
        <v>21184959.032127284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69910.364806020036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-425097.38793866604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-206840.03440251263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-201296.70526879732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20421635.269323327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omk.'!C17*(1+'Fane 12. Nøgletal'!C14)^3</f>
        <v>10954002.390647739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-0.22963128238916397</v>
      </c>
      <c r="D23" s="11" t="s">
        <v>3</v>
      </c>
      <c r="E23" s="1"/>
    </row>
    <row r="24" spans="1:5" x14ac:dyDescent="0.25">
      <c r="A24" s="1"/>
      <c r="B24" s="36" t="s">
        <v>224</v>
      </c>
      <c r="C24" s="56"/>
      <c r="D24" s="20"/>
      <c r="E24" s="1"/>
    </row>
    <row r="25" spans="1:5" x14ac:dyDescent="0.2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189</v>
      </c>
      <c r="C26" s="12">
        <f>SUM(C15,C17,C21,C23,C25)</f>
        <v>31375637.430339783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7JHQY3H6uCvLJ0MnguEF0UOWUY2OGmLZ2BATH6YG28akMEDNDUNDAiRNjn/IniZOJmYUhvDBcN0VtHBlEde3w==" saltValue="2zaBETWNBUF/QwO1j1uU2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7" t="s">
        <v>190</v>
      </c>
      <c r="C3" s="97"/>
      <c r="D3" s="97"/>
      <c r="E3" s="97"/>
      <c r="F3" s="97"/>
      <c r="G3" s="1"/>
    </row>
    <row r="4" spans="1:7" ht="29.25" customHeight="1" x14ac:dyDescent="0.25">
      <c r="A4" s="1"/>
      <c r="B4" s="97"/>
      <c r="C4" s="97"/>
      <c r="D4" s="97"/>
      <c r="E4" s="97"/>
      <c r="F4" s="97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223</v>
      </c>
      <c r="C8" s="56"/>
      <c r="D8" s="56"/>
      <c r="E8" s="56"/>
      <c r="F8" s="20"/>
      <c r="G8" s="1"/>
    </row>
    <row r="9" spans="1:7" x14ac:dyDescent="0.25">
      <c r="A9" s="1"/>
      <c r="B9" s="98" t="s">
        <v>23</v>
      </c>
      <c r="C9" s="99"/>
      <c r="D9" s="100"/>
      <c r="E9" s="7">
        <v>22313335.315296698</v>
      </c>
      <c r="F9" s="8" t="s">
        <v>3</v>
      </c>
      <c r="G9" s="1"/>
    </row>
    <row r="10" spans="1:7" ht="15" customHeight="1" x14ac:dyDescent="0.25">
      <c r="A10" s="1"/>
      <c r="B10" s="91" t="s">
        <v>40</v>
      </c>
      <c r="C10" s="92"/>
      <c r="D10" s="93"/>
      <c r="E10" s="9">
        <v>760017.45539999998</v>
      </c>
      <c r="F10" s="8" t="s">
        <v>3</v>
      </c>
      <c r="G10" s="1"/>
    </row>
    <row r="11" spans="1:7" ht="15" customHeight="1" x14ac:dyDescent="0.25">
      <c r="A11" s="1"/>
      <c r="B11" s="91" t="s">
        <v>41</v>
      </c>
      <c r="C11" s="92"/>
      <c r="D11" s="93"/>
      <c r="E11" s="9">
        <v>91976.589599999992</v>
      </c>
      <c r="F11" s="8" t="s">
        <v>3</v>
      </c>
      <c r="G11" s="1"/>
    </row>
    <row r="12" spans="1:7" x14ac:dyDescent="0.2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2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2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2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25">
      <c r="A16" s="1"/>
      <c r="B16" s="91" t="s">
        <v>18</v>
      </c>
      <c r="C16" s="92"/>
      <c r="D16" s="93"/>
      <c r="E16" s="9">
        <v>282617.01819561975</v>
      </c>
      <c r="F16" s="8" t="s">
        <v>3</v>
      </c>
      <c r="G16" s="1"/>
    </row>
    <row r="17" spans="1:7" x14ac:dyDescent="0.25">
      <c r="A17" s="1"/>
      <c r="B17" s="91" t="s">
        <v>9</v>
      </c>
      <c r="C17" s="92"/>
      <c r="D17" s="93"/>
      <c r="E17" s="9">
        <v>-468958.92756984639</v>
      </c>
      <c r="F17" s="8" t="s">
        <v>3</v>
      </c>
      <c r="G17" s="1"/>
    </row>
    <row r="18" spans="1:7" x14ac:dyDescent="0.25">
      <c r="A18" s="1"/>
      <c r="B18" s="91" t="s">
        <v>25</v>
      </c>
      <c r="C18" s="92"/>
      <c r="D18" s="93"/>
      <c r="E18" s="9">
        <v>-197005.64488548849</v>
      </c>
      <c r="F18" s="8" t="s">
        <v>3</v>
      </c>
      <c r="G18" s="1"/>
    </row>
    <row r="19" spans="1:7" x14ac:dyDescent="0.25">
      <c r="A19" s="1"/>
      <c r="B19" s="91" t="s">
        <v>26</v>
      </c>
      <c r="C19" s="92"/>
      <c r="D19" s="93"/>
      <c r="E19" s="9">
        <v>-396126.01534394152</v>
      </c>
      <c r="F19" s="8" t="s">
        <v>3</v>
      </c>
      <c r="G19" s="1"/>
    </row>
    <row r="20" spans="1:7" x14ac:dyDescent="0.25">
      <c r="A20" s="1"/>
      <c r="B20" s="104" t="s">
        <v>20</v>
      </c>
      <c r="C20" s="105"/>
      <c r="D20" s="106"/>
      <c r="E20" s="10">
        <f>SUM(E9:E19)</f>
        <v>22385855.790693041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94" t="s">
        <v>12</v>
      </c>
      <c r="C22" s="95"/>
      <c r="D22" s="96"/>
      <c r="E22" s="10">
        <v>14260541.621634001</v>
      </c>
      <c r="F22" s="11" t="s">
        <v>3</v>
      </c>
      <c r="G22" s="1"/>
    </row>
    <row r="23" spans="1:7" ht="15" customHeight="1" x14ac:dyDescent="0.25">
      <c r="A23" s="1"/>
      <c r="B23" s="110" t="s">
        <v>89</v>
      </c>
      <c r="C23" s="111"/>
      <c r="D23" s="111"/>
      <c r="E23" s="56"/>
      <c r="F23" s="56"/>
      <c r="G23" s="1"/>
    </row>
    <row r="24" spans="1:7" ht="14.25" customHeight="1" x14ac:dyDescent="0.25">
      <c r="A24" s="1"/>
      <c r="B24" s="101" t="s">
        <v>85</v>
      </c>
      <c r="C24" s="102"/>
      <c r="D24" s="103"/>
      <c r="E24" s="9">
        <v>291996.41940000001</v>
      </c>
      <c r="F24" s="8" t="s">
        <v>3</v>
      </c>
      <c r="G24" s="1"/>
    </row>
    <row r="25" spans="1:7" ht="14.25" customHeight="1" x14ac:dyDescent="0.2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25">
      <c r="A26" s="1"/>
      <c r="B26" s="107" t="s">
        <v>90</v>
      </c>
      <c r="C26" s="108"/>
      <c r="D26" s="108"/>
      <c r="E26" s="10">
        <v>280316.56262400001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7" t="s">
        <v>162</v>
      </c>
      <c r="C28" s="108"/>
      <c r="D28" s="109"/>
      <c r="E28" s="10">
        <v>-657284.48011820391</v>
      </c>
      <c r="F28" s="11" t="s">
        <v>3</v>
      </c>
      <c r="G28" s="1"/>
    </row>
    <row r="29" spans="1:7" x14ac:dyDescent="0.25">
      <c r="A29" s="1"/>
      <c r="B29" s="55" t="s">
        <v>247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94" t="s">
        <v>248</v>
      </c>
      <c r="C30" s="95"/>
      <c r="D30" s="96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36269429.494832844</v>
      </c>
      <c r="F31" s="13" t="s">
        <v>3</v>
      </c>
      <c r="G31" s="1"/>
    </row>
    <row r="32" spans="1:7" ht="27.75" customHeight="1" x14ac:dyDescent="0.25">
      <c r="A32" s="1"/>
      <c r="B32" s="101" t="s">
        <v>191</v>
      </c>
      <c r="C32" s="102"/>
      <c r="D32" s="102"/>
      <c r="E32" s="102"/>
      <c r="F32" s="10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E9buPWXP6XM01YDV1dljipFUgB2wz+vDr5u4Xts51IEseg+6Nf+iuMwtYJCadDa0YppYEN7SS3xNgSyXzRe6zg==" saltValue="qmyYA2HfCXfbckVB2mK1kQ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2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2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2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43</v>
      </c>
      <c r="C5" s="116"/>
      <c r="D5" s="116"/>
      <c r="E5" s="116"/>
      <c r="F5" s="117"/>
      <c r="G5" s="24">
        <v>9169487.8792452477</v>
      </c>
      <c r="H5" s="14" t="s">
        <v>3</v>
      </c>
      <c r="I5" s="1"/>
    </row>
    <row r="6" spans="1:9" x14ac:dyDescent="0.25">
      <c r="A6" s="1"/>
      <c r="B6" s="115" t="s">
        <v>44</v>
      </c>
      <c r="C6" s="116"/>
      <c r="D6" s="116"/>
      <c r="E6" s="116"/>
      <c r="F6" s="117"/>
      <c r="G6" s="24">
        <f>G5*'Fane 12. Nøgletal'!C29</f>
        <v>183389.75758490496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9100221.5678054281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182004.43135610857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9068935.0060553122</v>
      </c>
      <c r="H16" s="14" t="s">
        <v>3</v>
      </c>
      <c r="I16" s="1"/>
    </row>
    <row r="17" spans="1:9" x14ac:dyDescent="0.25">
      <c r="A17" s="1"/>
      <c r="B17" s="115" t="s">
        <v>125</v>
      </c>
      <c r="C17" s="116"/>
      <c r="D17" s="116"/>
      <c r="E17" s="116"/>
      <c r="F17" s="117"/>
      <c r="G17" s="24">
        <v>-16691.825071318628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42">
        <v>0</v>
      </c>
      <c r="H18" s="14" t="s">
        <v>3</v>
      </c>
      <c r="I18" s="1"/>
    </row>
    <row r="19" spans="1:9" x14ac:dyDescent="0.2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181044.86361967988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9021121.5689277705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133510.87033218</v>
      </c>
      <c r="H24" s="14" t="s">
        <v>3</v>
      </c>
      <c r="I24" s="1"/>
    </row>
    <row r="25" spans="1:9" x14ac:dyDescent="0.2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183092.64878519901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9080992.5759185441</v>
      </c>
      <c r="H29" s="14" t="s">
        <v>3</v>
      </c>
      <c r="I29" s="1"/>
    </row>
    <row r="30" spans="1:9" x14ac:dyDescent="0.25">
      <c r="A30" s="1"/>
      <c r="B30" s="115" t="s">
        <v>147</v>
      </c>
      <c r="C30" s="116"/>
      <c r="D30" s="116"/>
      <c r="E30" s="116"/>
      <c r="F30" s="117"/>
      <c r="G30" s="24">
        <f>SUM('Fane 3. Omkostninger i ØR2021'!E10,'Fane 3. Omkostninger i ØR2021'!E12,'Fane 3. Omkostninger i ØR2021'!E14)*(1+'Fane 12. Nøgletal'!C13)</f>
        <v>769289.66835587996</v>
      </c>
      <c r="H30" s="14" t="s">
        <v>3</v>
      </c>
      <c r="I30" s="1"/>
    </row>
    <row r="31" spans="1:9" x14ac:dyDescent="0.2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197005.64488548849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9771046.5739014819</v>
      </c>
      <c r="H35" s="14" t="s">
        <v>3</v>
      </c>
      <c r="I35" s="1"/>
    </row>
    <row r="36" spans="1:9" x14ac:dyDescent="0.25">
      <c r="A36" s="1"/>
      <c r="B36" s="37" t="s">
        <v>192</v>
      </c>
      <c r="C36" s="61"/>
      <c r="D36" s="61"/>
      <c r="E36" s="61"/>
      <c r="F36" s="62"/>
      <c r="G36" s="24">
        <f>SUM('Fane 2.1. Økonomisk ramme 2022'!C10)*(1+'Fane 12. Nøgletal'!C14)</f>
        <v>740955.19129099627</v>
      </c>
      <c r="H36" s="14" t="s">
        <v>3</v>
      </c>
      <c r="I36" s="1"/>
    </row>
    <row r="37" spans="1:9" x14ac:dyDescent="0.25">
      <c r="A37" s="1"/>
      <c r="B37" s="115" t="s">
        <v>221</v>
      </c>
      <c r="C37" s="116"/>
      <c r="D37" s="116"/>
      <c r="E37" s="116"/>
      <c r="F37" s="117"/>
      <c r="G37" s="24">
        <f>SUM('Fane 2.1. Økonomisk ramme 2022'!C12,'Fane 2.1. Økonomisk ramme 2022'!C14,'Fane 2.1. Økonomisk ramme 2022'!C16)*(1+'Fane 12. Nøgletal'!C14)</f>
        <v>1109079.85215844</v>
      </c>
      <c r="H37" s="14" t="s">
        <v>3</v>
      </c>
      <c r="I37" s="1"/>
    </row>
    <row r="38" spans="1:9" x14ac:dyDescent="0.2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217602.52852119846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10697710.226400603</v>
      </c>
      <c r="H42" s="14" t="s">
        <v>3</v>
      </c>
      <c r="I42" s="1"/>
    </row>
    <row r="43" spans="1:9" x14ac:dyDescent="0.25">
      <c r="A43" s="1"/>
      <c r="B43" s="115" t="s">
        <v>92</v>
      </c>
      <c r="C43" s="116"/>
      <c r="D43" s="116"/>
      <c r="E43" s="116"/>
      <c r="F43" s="117"/>
      <c r="G43" s="42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213954.20452801205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10518352.416744772</v>
      </c>
      <c r="H48" s="14" t="s">
        <v>3</v>
      </c>
      <c r="I48" s="1"/>
    </row>
    <row r="49" spans="1:9" x14ac:dyDescent="0.25">
      <c r="A49" s="1"/>
      <c r="B49" s="115" t="s">
        <v>150</v>
      </c>
      <c r="C49" s="116"/>
      <c r="D49" s="116"/>
      <c r="E49" s="116"/>
      <c r="F49" s="117"/>
      <c r="G49" s="42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210367.04833489546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198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199</v>
      </c>
      <c r="C54" s="116"/>
      <c r="D54" s="116"/>
      <c r="E54" s="116"/>
      <c r="F54" s="117"/>
      <c r="G54" s="24">
        <f>(G48+G49-G50)*(1+'Fane 12. Nøgletal'!C14)</f>
        <v>10342001.72012563</v>
      </c>
      <c r="H54" s="14" t="s">
        <v>3</v>
      </c>
      <c r="I54" s="1"/>
    </row>
    <row r="55" spans="1:9" x14ac:dyDescent="0.25">
      <c r="A55" s="1"/>
      <c r="B55" s="115" t="s">
        <v>200</v>
      </c>
      <c r="C55" s="116"/>
      <c r="D55" s="116"/>
      <c r="E55" s="116"/>
      <c r="F55" s="117"/>
      <c r="G55" s="42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5" t="s">
        <v>201</v>
      </c>
      <c r="C56" s="116"/>
      <c r="D56" s="116"/>
      <c r="E56" s="116"/>
      <c r="F56" s="117"/>
      <c r="G56" s="24">
        <f>(G54+G55)*'Fane 12. Nøgletal'!C29</f>
        <v>206840.03440251263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Y1AYtRnk41fQW47mV3QDF0zSrPCXpo4iu3DOAwYmLUZmEFizArin23dpVFvaM8VVjYEce6sLADh60p4dISKeag==" saltValue="jLA9HqoFhcN4gjUH+COg/w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25">
      <c r="A5" s="1"/>
      <c r="B5" s="115" t="s">
        <v>62</v>
      </c>
      <c r="C5" s="116"/>
      <c r="D5" s="116"/>
      <c r="E5" s="116"/>
      <c r="F5" s="117"/>
      <c r="G5" s="24">
        <v>12941210.375506559</v>
      </c>
      <c r="H5" s="14" t="s">
        <v>3</v>
      </c>
      <c r="I5" s="1"/>
    </row>
    <row r="6" spans="1:9" x14ac:dyDescent="0.25">
      <c r="A6" s="1"/>
      <c r="B6" s="115" t="s">
        <v>59</v>
      </c>
      <c r="C6" s="116"/>
      <c r="D6" s="116"/>
      <c r="E6" s="116"/>
      <c r="F6" s="117"/>
      <c r="G6" s="24">
        <f>G5*'Fane 12. Nøgletal'!C19</f>
        <v>117765.01441710969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2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12986303.117175285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42">
        <v>0</v>
      </c>
      <c r="H11" s="14" t="s">
        <v>3</v>
      </c>
      <c r="I11" s="1"/>
    </row>
    <row r="12" spans="1:9" x14ac:dyDescent="0.2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118175.3583662951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2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13085599.11793286</v>
      </c>
      <c r="H16" s="14" t="s">
        <v>3</v>
      </c>
      <c r="I16" s="1"/>
    </row>
    <row r="17" spans="1:9" x14ac:dyDescent="0.25">
      <c r="A17" s="1"/>
      <c r="B17" s="115" t="s">
        <v>126</v>
      </c>
      <c r="C17" s="116"/>
      <c r="D17" s="116"/>
      <c r="E17" s="116"/>
      <c r="F17" s="117"/>
      <c r="G17" s="24">
        <v>-69148.200792945747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150503.97171021733</v>
      </c>
      <c r="H18" s="14" t="s">
        <v>3</v>
      </c>
      <c r="I18" s="1"/>
    </row>
    <row r="19" spans="1:9" x14ac:dyDescent="0.2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114552.50753299614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2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13272987.981561393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1010163.6807377673</v>
      </c>
      <c r="H24" s="14" t="s">
        <v>3</v>
      </c>
      <c r="I24" s="1"/>
    </row>
    <row r="25" spans="1:9" x14ac:dyDescent="0.2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144163.64397253669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2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14311483.672150208</v>
      </c>
      <c r="H29" s="14" t="s">
        <v>3</v>
      </c>
      <c r="I29" s="1"/>
    </row>
    <row r="30" spans="1:9" x14ac:dyDescent="0.25">
      <c r="A30" s="1"/>
      <c r="B30" s="115" t="s">
        <v>152</v>
      </c>
      <c r="C30" s="116"/>
      <c r="D30" s="116"/>
      <c r="E30" s="116"/>
      <c r="F30" s="117"/>
      <c r="G30" s="24">
        <v>93098.703993119998</v>
      </c>
      <c r="H30" s="14" t="s">
        <v>3</v>
      </c>
      <c r="I30" s="1"/>
    </row>
    <row r="31" spans="1:9" x14ac:dyDescent="0.2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396126.01534394152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2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14179359.528401138</v>
      </c>
      <c r="H35" s="14" t="s">
        <v>3</v>
      </c>
      <c r="I35" s="1"/>
    </row>
    <row r="36" spans="1:9" s="41" customFormat="1" x14ac:dyDescent="0.2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88969.148054773177</v>
      </c>
      <c r="H36" s="14" t="s">
        <v>3</v>
      </c>
      <c r="I36" s="38"/>
    </row>
    <row r="37" spans="1:9" x14ac:dyDescent="0.25">
      <c r="A37" s="1"/>
      <c r="B37" s="115" t="s">
        <v>193</v>
      </c>
      <c r="C37" s="116"/>
      <c r="D37" s="116"/>
      <c r="E37" s="116"/>
      <c r="F37" s="117"/>
      <c r="G37" s="24">
        <f>SUM('Fane 2.1. Økonomisk ramme 2022'!C13,'Fane 2.1. Økonomisk ramme 2022'!C15,'Fane 2.1. Økonomisk ramme 2022'!C17)*(1+'Fane 12. Nøgletal'!C14)</f>
        <v>86881.592526790002</v>
      </c>
      <c r="H37" s="14" t="s">
        <v>3</v>
      </c>
      <c r="I37" s="1"/>
    </row>
    <row r="38" spans="1:9" x14ac:dyDescent="0.2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391218.23460042779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2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13920810.461852381</v>
      </c>
      <c r="H42" s="14" t="s">
        <v>3</v>
      </c>
      <c r="I42" s="1"/>
    </row>
    <row r="43" spans="1:9" x14ac:dyDescent="0.25">
      <c r="A43" s="1"/>
      <c r="B43" s="115" t="s">
        <v>96</v>
      </c>
      <c r="C43" s="116"/>
      <c r="D43" s="116"/>
      <c r="E43" s="116"/>
      <c r="F43" s="117"/>
      <c r="G43" s="42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206027.99483541524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2" t="s">
        <v>153</v>
      </c>
      <c r="C47" s="113"/>
      <c r="D47" s="113"/>
      <c r="E47" s="113"/>
      <c r="F47" s="113"/>
      <c r="G47" s="113"/>
      <c r="H47" s="114"/>
      <c r="I47" s="1"/>
    </row>
    <row r="48" spans="1:9" x14ac:dyDescent="0.25">
      <c r="A48" s="1"/>
      <c r="B48" s="115" t="s">
        <v>154</v>
      </c>
      <c r="C48" s="116"/>
      <c r="D48" s="116"/>
      <c r="E48" s="116"/>
      <c r="F48" s="117"/>
      <c r="G48" s="24">
        <f>(G42+G43-G44)*(1+'Fane 12. Nøgletal'!C14)</f>
        <v>13760041.249158122</v>
      </c>
      <c r="H48" s="14" t="s">
        <v>3</v>
      </c>
      <c r="I48" s="1"/>
    </row>
    <row r="49" spans="1:9" x14ac:dyDescent="0.25">
      <c r="A49" s="1"/>
      <c r="B49" s="115" t="s">
        <v>155</v>
      </c>
      <c r="C49" s="116"/>
      <c r="D49" s="116"/>
      <c r="E49" s="116"/>
      <c r="F49" s="117"/>
      <c r="G49" s="42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5" t="s">
        <v>156</v>
      </c>
      <c r="C50" s="116"/>
      <c r="D50" s="116"/>
      <c r="E50" s="116"/>
      <c r="F50" s="117"/>
      <c r="G50" s="24">
        <f>(G48+G49)*'Fane 12. Nøgletal'!C24</f>
        <v>203648.61048754022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2" t="s">
        <v>194</v>
      </c>
      <c r="C53" s="113"/>
      <c r="D53" s="113"/>
      <c r="E53" s="113"/>
      <c r="F53" s="113"/>
      <c r="G53" s="113"/>
      <c r="H53" s="114"/>
      <c r="I53" s="1"/>
    </row>
    <row r="54" spans="1:9" x14ac:dyDescent="0.25">
      <c r="A54" s="1"/>
      <c r="B54" s="115" t="s">
        <v>195</v>
      </c>
      <c r="C54" s="116"/>
      <c r="D54" s="116"/>
      <c r="E54" s="116"/>
      <c r="F54" s="117"/>
      <c r="G54" s="24">
        <f>(G48+G49-G50)*(1+'Fane 12. Nøgletal'!C14)</f>
        <v>13601128.734378196</v>
      </c>
      <c r="H54" s="14" t="s">
        <v>3</v>
      </c>
      <c r="I54" s="1"/>
    </row>
    <row r="55" spans="1:9" x14ac:dyDescent="0.25">
      <c r="A55" s="1"/>
      <c r="B55" s="115" t="s">
        <v>196</v>
      </c>
      <c r="C55" s="116"/>
      <c r="D55" s="116"/>
      <c r="E55" s="116"/>
      <c r="F55" s="117"/>
      <c r="G55" s="42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5" t="s">
        <v>197</v>
      </c>
      <c r="C56" s="116"/>
      <c r="D56" s="116"/>
      <c r="E56" s="116"/>
      <c r="F56" s="117"/>
      <c r="G56" s="24">
        <f>(G54+G55)*'Fane 12. Nøgletal'!C24</f>
        <v>201296.70526879732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Mf0yGY8qRuCyQWQEp8PZnmtj9fcDaITvnl0uS1OIALi+KzjaWp7B/G7ibp36ATWME+WAZxLKRkZy0JFKuzksWA==" saltValue="J+IoPPydcsptExo7Zgn60g==" spinCount="100000" sheet="1" objects="1" scenarios="1"/>
  <mergeCells count="37"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3:H53"/>
    <mergeCell ref="B54:F54"/>
    <mergeCell ref="B55:F55"/>
    <mergeCell ref="B56:F56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25">
      <c r="A9" s="1"/>
      <c r="B9" s="115" t="s">
        <v>105</v>
      </c>
      <c r="C9" s="116"/>
      <c r="D9" s="116"/>
      <c r="E9" s="116"/>
      <c r="F9" s="117"/>
      <c r="G9" s="44">
        <v>1.4565360422358694E-2</v>
      </c>
      <c r="H9" s="14"/>
      <c r="I9" s="1"/>
    </row>
    <row r="10" spans="1:9" x14ac:dyDescent="0.25">
      <c r="A10" s="1"/>
      <c r="B10" s="115" t="s">
        <v>141</v>
      </c>
      <c r="C10" s="116"/>
      <c r="D10" s="116"/>
      <c r="E10" s="116"/>
      <c r="F10" s="117"/>
      <c r="G10" s="44">
        <v>0.02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CpXPB5jl1Ut2acranGODTNb1A9SAhjBIIyJbsJJ8CjM/7pGTjadDdLbubVm94mZ35SCQ/3jd6C1xcKC5+VeG2Q==" saltValue="yrnJEnccykyZb3bP4npYhw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2021-09-06T09:56:18Z</dcterms:modified>
</cp:coreProperties>
</file>