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ønderborg Vandforsyning AS (V18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<sst xmlns="http://schemas.openxmlformats.org/spreadsheetml/2006/main" count="623" uniqueCount="255">
  <si>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</si>
  <si>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</si>
  <si>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</si>
  <si>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</si>
  <si>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</si>
  <si>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</si>
  <si>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</si>
  <si>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</si>
  <si>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</si>
  <si>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</si>
  <si>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</si>
  <si>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</si>
  <si>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</si>
  <si>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</si>
  <si>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</si>
  <si>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</si>
  <si>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</si>
  <si>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</si>
  <si>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</si>
  <si>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</si>
  <si>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</si>
  <si>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</si>
  <si>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</si>
  <si>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</si>
  <si>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</si>
  <si>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</si>
  <si>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</si>
  <si>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</si>
  <si>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</si>
  <si>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</si>
  <si>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</si>
  <si>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</si>
  <si>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</si>
  <si>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</si>
  <si>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</si>
  <si>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</si>
  <si>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</si>
  <si>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</si>
  <si>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</si>
  <si>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</si>
  <si>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</si>
  <si>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</si>
  <si>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</si>
  <si>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</si>
  <si>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</si>
  <si>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</si>
  <si>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</si>
  <si>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</si>
  <si>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</si>
  <si>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</si>
  <si>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</si>
  <si>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</si>
  <si>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</si>
  <si>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</si>
  <si>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</si>
  <si>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</si>
  <si>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</si>
  <si>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</si>
  <si>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</si>
  <si>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</si>
  <si>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</si>
  <si>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</si>
  <si>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</si>
  <si>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</si>
  <si>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</si>
  <si>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</si>
  <si>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</si>
  <si>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</si>
  <si>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</si>
  <si>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</si>
  <si>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</si>
  <si>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</si>
  <si>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</si>
  <si>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</si>
  <si>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</si>
  <si>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</si>
  <si>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</si>
  <si>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</si>
  <si>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</si>
  <si>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</si>
  <si>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</si>
  <si>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</si>
  <si>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</si>
  <si>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</si>
  <si>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</si>
  <si>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</si>
  <si>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</si>
  <si>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</si>
  <si>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</si>
  <si>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</si>
  <si>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</si>
  <si>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</si>
  <si>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</si>
  <si>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</si>
  <si>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</si>
  <si>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</si>
  <si>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</si>
  <si>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</si>
  <si>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</si>
  <si>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</si>
  <si>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</si>
  <si>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</si>
  <si>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</si>
  <si>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</si>
  <si>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</si>
  <si>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</si>
  <si>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</si>
  <si>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</si>
  <si>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</si>
  <si>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</si>
  <si>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</si>
  <si>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</si>
  <si>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</si>
  <si>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</si>
  <si>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</si>
  <si>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</si>
  <si>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</si>
  <si>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</si>
  <si>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</si>
  <si>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</si>
  <si>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</si>
  <si>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</si>
  <si>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</si>
  <si>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</si>
  <si>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</si>
  <si>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</si>
  <si>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</si>
  <si>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</si>
  <si>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</si>
  <si>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</si>
  <si>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</si>
  <si>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</si>
  <si>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</si>
  <si>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</si>
  <si>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</si>
  <si>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</si>
  <si>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</si>
  <si>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</si>
  <si>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</si>
  <si>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</si>
  <si>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</si>
  <si>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</si>
  <si>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</si>
  <si>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</si>
  <si>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</si>
  <si>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</si>
  <si>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</si>
  <si>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</si>
  <si>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</si>
  <si>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</si>
  <si>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</si>
  <si>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</si>
  <si>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</si>
  <si>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</si>
  <si>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</si>
  <si>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</si>
  <si>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</si>
  <si>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</si>
  <si>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</si>
  <si>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</si>
  <si>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</si>
  <si>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</si>
  <si>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</si>
  <si>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</si>
  <si>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</si>
  <si>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</si>
  <si>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</si>
  <si>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</si>
  <si>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</si>
  <si>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</si>
  <si>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</si>
  <si>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</si>
  <si>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</si>
  <si>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</si>
  <si>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</si>
  <si>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</si>
  <si>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</si>
  <si>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</si>
  <si>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</si>
  <si>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</si>
  <si>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</si>
  <si>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</si>
  <si>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</si>
  <si>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</si>
  <si>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</si>
  <si>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</si>
  <si>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</si>
  <si>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</si>
  <si>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</si>
  <si>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</si>
  <si>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</si>
  <si>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</si>
  <si>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</si>
  <si>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</si>
  <si>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</si>
  <si>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</si>
  <si>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</si>
  <si>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</si>
  <si>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</si>
  <si>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</si>
  <si>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</si>
  <si>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</si>
  <si>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</si>
  <si>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</si>
  <si>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</si>
  <si>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</si>
  <si>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</si>
  <si>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</si>
  <si>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</si>
  <si>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</si>
  <si>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</si>
  <si>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</si>
  <si>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</si>
  <si>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</si>
  <si>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</si>
  <si>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</si>
  <si>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</si>
  <si>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</si>
  <si>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</si>
  <si>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</si>
  <si>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</si>
  <si>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</si>
  <si>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</si>
  <si>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</si>
  <si>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</si>
  <si>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</si>
  <si>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</si>
  <si>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</si>
  <si>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</si>
  <si>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</si>
  <si>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Vandsamarbejde etableret i medfør af § 52b i vandforsyningsloven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</si>
  <si>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</si>
  <si>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</si>
  <si>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</si>
  <si>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</si>
  <si>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</si>
  <si>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</si>
  <si>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</si>
  <si>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</si>
  <si>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</si>
  <si>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</si>
  <si>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</si>
  <si>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</si>
  <si>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</si>
  <si>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</si>
  <si>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Udvidelser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</si>
  <si>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</si>
  <si>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</si>
  <si>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</si>
  <si>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</si>
  <si>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</si>
  <si>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</si>
  <si>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</si>
  <si>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Flytning af forsyningsledninger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</si>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</sst>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4" t="s">
        <v>254</v>
      </c>
      <c r="E8" s="84"/>
      <c r="F8" s="84"/>
      <c r="G8" s="8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4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4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4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4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4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yVWCmUeTH+FnhLuSNL2ixdKKFPVuslCyExG0pKSJFiIJirWDVGLRUdrpqBnKTbN1uDqqfreSgeeCMBa7BQXug==" saltValue="qVUFZZuf7PhuEbvRkCH+K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117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1" t="s">
        <v>202</v>
      </c>
      <c r="C8" s="112"/>
      <c r="D8" s="113"/>
      <c r="E8" s="1"/>
      <c r="F8" s="1"/>
    </row>
    <row r="9" spans="1:6" ht="15" customHeight="1" x14ac:dyDescent="0.4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2" t="s">
        <v>227</v>
      </c>
      <c r="C10" s="9">
        <v>13639267</v>
      </c>
      <c r="D10" s="14" t="s">
        <v>3</v>
      </c>
      <c r="E10" s="1"/>
      <c r="F10" s="1"/>
    </row>
    <row r="11" spans="1:6" x14ac:dyDescent="0.45">
      <c r="A11" s="1"/>
      <c r="B11" s="62" t="s">
        <v>228</v>
      </c>
      <c r="C11" s="9">
        <v>80327</v>
      </c>
      <c r="D11" s="14" t="s">
        <v>3</v>
      </c>
      <c r="E11" s="1"/>
      <c r="F11" s="1"/>
    </row>
    <row r="12" spans="1:6" x14ac:dyDescent="0.45">
      <c r="A12" s="1"/>
      <c r="B12" s="62" t="s">
        <v>229</v>
      </c>
      <c r="C12" s="9">
        <v>175646</v>
      </c>
      <c r="D12" s="14" t="s">
        <v>3</v>
      </c>
      <c r="E12" s="1"/>
      <c r="F12" s="1"/>
    </row>
    <row r="13" spans="1:6" x14ac:dyDescent="0.45">
      <c r="A13" s="1"/>
      <c r="B13" s="62" t="s">
        <v>230</v>
      </c>
      <c r="C13" s="9">
        <v>1078892.32</v>
      </c>
      <c r="D13" s="14" t="s">
        <v>3</v>
      </c>
      <c r="E13" s="1"/>
      <c r="F13" s="1"/>
    </row>
    <row r="14" spans="1:6" x14ac:dyDescent="0.45">
      <c r="A14" s="1"/>
      <c r="B14" s="50" t="s">
        <v>204</v>
      </c>
      <c r="C14" s="12">
        <f>SUM(C10:C13)</f>
        <v>14974132.32</v>
      </c>
      <c r="D14" s="13" t="s">
        <v>3</v>
      </c>
      <c r="E14" s="1"/>
      <c r="F14" s="1"/>
    </row>
    <row r="15" spans="1:6" x14ac:dyDescent="0.45">
      <c r="A15" s="1"/>
      <c r="B15" s="50" t="s">
        <v>205</v>
      </c>
      <c r="C15" s="12">
        <f>C14*(1+'Fane 12. Nøgletal'!C14)^2</f>
        <v>15073124.661612967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qGrnRouFCiogx0cGD/jsjR51nSAkX7j2VucU/2gsI3wDojRxG72NRQ13ekmD4YisKWW6D9/0SjPWwYEIY4QaNA==" saltValue="mpDzQf9WoUGY9M9mGIRfA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45">
      <c r="A4" s="1"/>
      <c r="B4" s="96"/>
      <c r="C4" s="96"/>
      <c r="D4" s="96"/>
      <c r="E4" s="96"/>
      <c r="F4" s="96"/>
      <c r="G4" s="1"/>
    </row>
    <row r="5" spans="1:7" ht="15" customHeight="1" x14ac:dyDescent="0.45">
      <c r="A5" s="1"/>
      <c r="B5" s="54"/>
      <c r="C5" s="54"/>
      <c r="D5" s="54"/>
      <c r="E5" s="54"/>
      <c r="F5" s="54"/>
      <c r="G5" s="1"/>
    </row>
    <row r="6" spans="1:7" ht="15" customHeight="1" x14ac:dyDescent="0.45">
      <c r="A6" s="1"/>
      <c r="B6" s="54"/>
      <c r="C6" s="54"/>
      <c r="D6" s="54"/>
      <c r="E6" s="54"/>
      <c r="F6" s="54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232</v>
      </c>
      <c r="C8" s="112"/>
      <c r="D8" s="112"/>
      <c r="E8" s="112"/>
      <c r="F8" s="113"/>
      <c r="G8" s="1"/>
    </row>
    <row r="9" spans="1:7" x14ac:dyDescent="0.45">
      <c r="A9" s="1"/>
      <c r="B9" s="114" t="s">
        <v>233</v>
      </c>
      <c r="C9" s="115"/>
      <c r="D9" s="116"/>
      <c r="E9" s="9">
        <v>6620922.7183712646</v>
      </c>
      <c r="F9" s="14" t="s">
        <v>3</v>
      </c>
      <c r="G9" s="1"/>
    </row>
    <row r="10" spans="1:7" x14ac:dyDescent="0.45">
      <c r="A10" s="1"/>
      <c r="B10" s="114" t="s">
        <v>234</v>
      </c>
      <c r="C10" s="115"/>
      <c r="D10" s="116"/>
      <c r="E10" s="9">
        <v>2433801.3249651566</v>
      </c>
      <c r="F10" s="14" t="s">
        <v>3</v>
      </c>
      <c r="G10" s="1"/>
    </row>
    <row r="11" spans="1:7" x14ac:dyDescent="0.45">
      <c r="A11" s="1"/>
      <c r="B11" s="114" t="s">
        <v>235</v>
      </c>
      <c r="C11" s="115"/>
      <c r="D11" s="116"/>
      <c r="E11" s="9">
        <v>3259249.3735713214</v>
      </c>
      <c r="F11" s="14" t="s">
        <v>3</v>
      </c>
      <c r="G11" s="1"/>
    </row>
    <row r="12" spans="1:7" x14ac:dyDescent="0.45">
      <c r="A12" s="1"/>
      <c r="B12" s="114" t="s">
        <v>236</v>
      </c>
      <c r="C12" s="115"/>
      <c r="D12" s="116"/>
      <c r="E12" s="9">
        <f>IF(OR(AND(E10&gt;0,E11&lt;0),AND(E11&lt;0,E34&gt;0)),E17+E18,E11)</f>
        <v>3259249.3735713214</v>
      </c>
      <c r="F12" s="14" t="s">
        <v>3</v>
      </c>
      <c r="G12" s="1"/>
    </row>
    <row r="13" spans="1:7" x14ac:dyDescent="0.45">
      <c r="A13" s="1"/>
      <c r="B13" s="50"/>
      <c r="C13" s="51"/>
      <c r="D13" s="51"/>
      <c r="E13" s="51"/>
      <c r="F13" s="20"/>
      <c r="G13" s="1"/>
    </row>
    <row r="14" spans="1:7" ht="54.75" customHeight="1" x14ac:dyDescent="0.45">
      <c r="A14" s="1"/>
      <c r="B14" s="100" t="s">
        <v>237</v>
      </c>
      <c r="C14" s="101"/>
      <c r="D14" s="101"/>
      <c r="E14" s="101"/>
      <c r="F14" s="10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238</v>
      </c>
      <c r="C16" s="112"/>
      <c r="D16" s="112"/>
      <c r="E16" s="112"/>
      <c r="F16" s="113"/>
      <c r="G16" s="1"/>
    </row>
    <row r="17" spans="1:7" x14ac:dyDescent="0.45">
      <c r="A17" s="1"/>
      <c r="B17" s="114" t="s">
        <v>239</v>
      </c>
      <c r="C17" s="115"/>
      <c r="D17" s="116"/>
      <c r="E17" s="9">
        <v>0</v>
      </c>
      <c r="F17" s="14" t="s">
        <v>3</v>
      </c>
      <c r="G17" s="1"/>
    </row>
    <row r="18" spans="1:7" x14ac:dyDescent="0.45">
      <c r="A18" s="1"/>
      <c r="B18" s="114" t="s">
        <v>240</v>
      </c>
      <c r="C18" s="115"/>
      <c r="D18" s="116"/>
      <c r="E18" s="9">
        <v>0</v>
      </c>
      <c r="F18" s="14" t="s">
        <v>3</v>
      </c>
      <c r="G18" s="1"/>
    </row>
    <row r="19" spans="1:7" x14ac:dyDescent="0.45">
      <c r="A19" s="1"/>
      <c r="B19" s="50"/>
      <c r="C19" s="51"/>
      <c r="D19" s="51"/>
      <c r="E19" s="51"/>
      <c r="F19" s="20"/>
      <c r="G19" s="1"/>
    </row>
    <row r="20" spans="1:7" ht="30" customHeight="1" x14ac:dyDescent="0.45">
      <c r="A20" s="1"/>
      <c r="B20" s="100" t="s">
        <v>241</v>
      </c>
      <c r="C20" s="101"/>
      <c r="D20" s="101"/>
      <c r="E20" s="101"/>
      <c r="F20" s="102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9" t="s">
        <v>206</v>
      </c>
      <c r="C22" s="60"/>
      <c r="D22" s="60"/>
      <c r="E22" s="60"/>
      <c r="F22" s="61"/>
      <c r="G22" s="1"/>
    </row>
    <row r="23" spans="1:7" x14ac:dyDescent="0.45">
      <c r="A23" s="1"/>
      <c r="B23" s="56" t="s">
        <v>207</v>
      </c>
      <c r="C23" s="57"/>
      <c r="D23" s="58"/>
      <c r="E23" s="9">
        <v>41614692.84469521</v>
      </c>
      <c r="F23" s="14" t="s">
        <v>3</v>
      </c>
      <c r="G23" s="1"/>
    </row>
    <row r="24" spans="1:7" x14ac:dyDescent="0.45">
      <c r="A24" s="1"/>
      <c r="B24" s="56" t="s">
        <v>208</v>
      </c>
      <c r="C24" s="57"/>
      <c r="D24" s="58"/>
      <c r="E24" s="9">
        <v>37973728</v>
      </c>
      <c r="F24" s="14" t="s">
        <v>3</v>
      </c>
      <c r="G24" s="1"/>
    </row>
    <row r="25" spans="1:7" x14ac:dyDescent="0.4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45">
      <c r="A26" s="1"/>
      <c r="B26" s="63" t="s">
        <v>250</v>
      </c>
      <c r="C26" s="64"/>
      <c r="D26" s="65"/>
      <c r="E26" s="45">
        <f>E23-(E24-E25)</f>
        <v>3640964.8446952105</v>
      </c>
      <c r="F26" s="17" t="s">
        <v>3</v>
      </c>
      <c r="G26" s="1"/>
    </row>
    <row r="27" spans="1:7" x14ac:dyDescent="0.45">
      <c r="A27" s="1"/>
      <c r="B27" s="50"/>
      <c r="C27" s="51"/>
      <c r="D27" s="51"/>
      <c r="E27" s="51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242</v>
      </c>
      <c r="C29" s="112"/>
      <c r="D29" s="112"/>
      <c r="E29" s="112"/>
      <c r="F29" s="113"/>
      <c r="G29" s="1"/>
    </row>
    <row r="30" spans="1:7" x14ac:dyDescent="0.45">
      <c r="A30" s="1"/>
      <c r="B30" s="132" t="s">
        <v>243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45">
      <c r="A31" s="1"/>
      <c r="B31" s="111"/>
      <c r="C31" s="112"/>
      <c r="D31" s="112"/>
      <c r="E31" s="112"/>
      <c r="F31" s="113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1" t="s">
        <v>244</v>
      </c>
      <c r="C33" s="112"/>
      <c r="D33" s="112"/>
      <c r="E33" s="112"/>
      <c r="F33" s="113"/>
      <c r="G33" s="1"/>
    </row>
    <row r="34" spans="1:7" x14ac:dyDescent="0.45">
      <c r="A34" s="1"/>
      <c r="B34" s="136" t="s">
        <v>251</v>
      </c>
      <c r="C34" s="137"/>
      <c r="D34" s="138"/>
      <c r="E34" s="9">
        <v>3</v>
      </c>
      <c r="F34" s="14"/>
      <c r="G34" s="1"/>
    </row>
    <row r="35" spans="1:7" x14ac:dyDescent="0.4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4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45">
      <c r="A38" s="1"/>
      <c r="B38" s="129"/>
      <c r="C38" s="130"/>
      <c r="D38" s="130"/>
      <c r="E38" s="130"/>
      <c r="F38" s="131"/>
      <c r="G38" s="1"/>
    </row>
    <row r="39" spans="1:7" ht="75" customHeight="1" x14ac:dyDescent="0.45">
      <c r="A39" s="1"/>
      <c r="B39" s="100" t="s">
        <v>249</v>
      </c>
      <c r="C39" s="101"/>
      <c r="D39" s="101"/>
      <c r="E39" s="101"/>
      <c r="F39" s="102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G+7ZENWvipVXaWBMoFU9gAdBoqktZ5y8YgmlWdl+sbbQDR9G7kOK/TvqWcbbXnaKVdI+CUQ4ICQEs5nEKFz9Ng==" saltValue="mJnMj+4zzfm0U7wf7+BaX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45">
      <c r="A10" s="1"/>
      <c r="B10" s="67" t="s">
        <v>252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oO9gFOWHnWs2qkSVlvVfdSuZUs+f3nDj8FJjlTZClAUElgMvKdGw024aWIDwGJXHyGOzlqieMYAeCpB04z+3Q==" saltValue="N4JrBIKJDt5SpNq3c3gY1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4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4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25" t="s">
        <v>253</v>
      </c>
      <c r="C11" s="22">
        <v>0</v>
      </c>
      <c r="D11" s="14" t="s">
        <v>3</v>
      </c>
      <c r="E11" s="9">
        <v>47364</v>
      </c>
      <c r="F11" s="14" t="s">
        <v>3</v>
      </c>
      <c r="G11" s="1"/>
    </row>
    <row r="12" spans="1:7" x14ac:dyDescent="0.45">
      <c r="A12" s="1"/>
      <c r="B12" s="25" t="s">
        <v>245</v>
      </c>
      <c r="C12" s="22">
        <v>24425</v>
      </c>
      <c r="D12" s="14" t="s">
        <v>3</v>
      </c>
      <c r="E12" s="9">
        <v>11624</v>
      </c>
      <c r="F12" s="14" t="s">
        <v>3</v>
      </c>
      <c r="G12" s="1"/>
    </row>
    <row r="13" spans="1:7" x14ac:dyDescent="0.45">
      <c r="A13" s="1"/>
      <c r="B13" s="50" t="s">
        <v>136</v>
      </c>
      <c r="C13" s="12">
        <f>SUM(C10:C12)</f>
        <v>24425</v>
      </c>
      <c r="D13" s="13" t="s">
        <v>3</v>
      </c>
      <c r="E13" s="12">
        <f>SUM(E10:E12)</f>
        <v>58988</v>
      </c>
      <c r="F13" s="13" t="s">
        <v>3</v>
      </c>
      <c r="G13" s="1"/>
    </row>
    <row r="14" spans="1:7" x14ac:dyDescent="0.45">
      <c r="A14" s="1"/>
      <c r="B14" s="50" t="s">
        <v>209</v>
      </c>
      <c r="C14" s="12">
        <f>C13*(1+'Fane 12. Nøgletal'!C14)</f>
        <v>24505.602500000001</v>
      </c>
      <c r="D14" s="13" t="s">
        <v>3</v>
      </c>
      <c r="E14" s="12">
        <f>E13*(1+'Fane 12. Nøgletal'!C14)</f>
        <v>59182.660400000008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CNlr9tEFL/2Q9CMZYakd8XtErM81J/9DXFyex21nWN2RZHFtPSn7M+eXsWfu7bwEaNTz9b0PiRU0XOqcSNkSGA==" saltValue="IW3xquMfAj9/vbS3QeWVo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102</v>
      </c>
      <c r="C8" s="112"/>
      <c r="D8" s="112"/>
      <c r="E8" s="112"/>
      <c r="F8" s="113"/>
      <c r="G8" s="1"/>
    </row>
    <row r="9" spans="1:7" x14ac:dyDescent="0.4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4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4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4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4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4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4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4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/RCrJFvIQrBfRiIn0tKZQLwAjOtq2W2Esdyu+5zG5ka42fR0Bw3ZHio3Ev67Ia3ufEAYpCznQJNUibaODvGDWg==" saltValue="Ej3OUJ8vYLA6jOGU5A4U7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4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4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530AW1O8t/rr5uHw+21zxJTrK6DxY+u8+9UmKddoJkdgCBb7zcvZOeMswgjf1gWKmO01cwGyQUkQb/pPR/JtQ==" saltValue="+oAOU5xZLCeE/QQzeA1Lq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4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1" t="s">
        <v>99</v>
      </c>
      <c r="C15" s="112"/>
      <c r="D15" s="112"/>
      <c r="E15" s="112"/>
      <c r="F15" s="113"/>
      <c r="G15" s="1"/>
    </row>
    <row r="16" spans="1:7" x14ac:dyDescent="0.4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4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1" t="s">
        <v>142</v>
      </c>
      <c r="C22" s="112"/>
      <c r="D22" s="112"/>
      <c r="E22" s="112"/>
      <c r="F22" s="113"/>
      <c r="G22" s="1"/>
    </row>
    <row r="23" spans="1:7" x14ac:dyDescent="0.4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4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214</v>
      </c>
      <c r="C29" s="112"/>
      <c r="D29" s="112"/>
      <c r="E29" s="112"/>
      <c r="F29" s="113"/>
      <c r="G29" s="1"/>
    </row>
    <row r="30" spans="1:7" x14ac:dyDescent="0.4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4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P050Zx79jIvIy32vyl6V9cVpnykZ/3IHIzfs/I8q4Aei7Rn2OvzjAaWDRoGTvQpysNbYak1wyQKM2G6ANNisDQ==" saltValue="Ebj/vvRtxMAPI8CXh2dq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6" t="s">
        <v>164</v>
      </c>
      <c r="C3" s="96"/>
      <c r="D3" s="1"/>
    </row>
    <row r="4" spans="1:4" ht="25.5" customHeight="1" x14ac:dyDescent="0.45">
      <c r="A4" s="1"/>
      <c r="B4" s="96"/>
      <c r="C4" s="9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0" t="s">
        <v>14</v>
      </c>
      <c r="C8" s="20"/>
      <c r="D8" s="1"/>
    </row>
    <row r="9" spans="1:4" x14ac:dyDescent="0.45">
      <c r="A9" s="1"/>
      <c r="B9" s="62" t="s">
        <v>118</v>
      </c>
      <c r="C9" s="26">
        <v>1.2699999999999999E-2</v>
      </c>
      <c r="D9" s="1"/>
    </row>
    <row r="10" spans="1:4" x14ac:dyDescent="0.45">
      <c r="A10" s="1"/>
      <c r="B10" s="62" t="s">
        <v>22</v>
      </c>
      <c r="C10" s="26">
        <v>1.7500000000000002E-2</v>
      </c>
      <c r="D10" s="1"/>
    </row>
    <row r="11" spans="1:4" x14ac:dyDescent="0.45">
      <c r="A11" s="1"/>
      <c r="B11" s="62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69">
        <v>3.3E-3</v>
      </c>
      <c r="D14" s="1"/>
    </row>
    <row r="15" spans="1:4" x14ac:dyDescent="0.45">
      <c r="A15" s="1"/>
      <c r="B15" s="111"/>
      <c r="C15" s="113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0" t="s">
        <v>106</v>
      </c>
      <c r="C18" s="20"/>
      <c r="D18" s="1"/>
    </row>
    <row r="19" spans="1:4" x14ac:dyDescent="0.45">
      <c r="A19" s="1"/>
      <c r="B19" s="62" t="s">
        <v>120</v>
      </c>
      <c r="C19" s="23">
        <v>9.1000000000000004E-3</v>
      </c>
      <c r="D19" s="1"/>
    </row>
    <row r="20" spans="1:4" x14ac:dyDescent="0.45">
      <c r="A20" s="1"/>
      <c r="B20" s="62" t="s">
        <v>121</v>
      </c>
      <c r="C20" s="23">
        <v>1.77E-2</v>
      </c>
      <c r="D20" s="1"/>
    </row>
    <row r="21" spans="1:4" x14ac:dyDescent="0.45">
      <c r="A21" s="1"/>
      <c r="B21" s="62" t="s">
        <v>122</v>
      </c>
      <c r="C21" s="23">
        <v>8.6999999999999994E-3</v>
      </c>
      <c r="D21" s="1"/>
    </row>
    <row r="22" spans="1:4" x14ac:dyDescent="0.45">
      <c r="A22" s="1"/>
      <c r="B22" s="62" t="s">
        <v>123</v>
      </c>
      <c r="C22" s="35">
        <v>2.8400000000000002E-2</v>
      </c>
      <c r="D22" s="1"/>
    </row>
    <row r="23" spans="1:4" x14ac:dyDescent="0.45">
      <c r="A23" s="1"/>
      <c r="B23" s="62" t="s">
        <v>146</v>
      </c>
      <c r="C23" s="35">
        <v>2.75E-2</v>
      </c>
      <c r="D23" s="1"/>
    </row>
    <row r="24" spans="1:4" x14ac:dyDescent="0.45">
      <c r="A24" s="1"/>
      <c r="B24" s="62" t="s">
        <v>217</v>
      </c>
      <c r="C24" s="35">
        <v>1.4800000000000001E-2</v>
      </c>
      <c r="D24" s="1"/>
    </row>
    <row r="25" spans="1:4" x14ac:dyDescent="0.45">
      <c r="A25" s="1"/>
      <c r="B25" s="50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50" t="s">
        <v>107</v>
      </c>
      <c r="C28" s="20"/>
      <c r="D28" s="1"/>
    </row>
    <row r="29" spans="1:4" x14ac:dyDescent="0.45">
      <c r="A29" s="1"/>
      <c r="B29" s="62" t="s">
        <v>124</v>
      </c>
      <c r="C29" s="26">
        <v>0.02</v>
      </c>
      <c r="D29" s="1"/>
    </row>
    <row r="30" spans="1:4" x14ac:dyDescent="0.45">
      <c r="A30" s="1"/>
      <c r="B30" s="50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6ZgYKm9JJQNNflYxJbO12+vl4/YNVrWrCnVM2MDN9Q8mC0jglvrEQ7R5awUSSe7ZwoYMQ7387AHmRv/DUAKe2A==" saltValue="5b+rhVfaz8naWq02eAgB0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183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0" t="s">
        <v>13</v>
      </c>
      <c r="C8" s="51"/>
      <c r="D8" s="20"/>
      <c r="E8" s="1"/>
    </row>
    <row r="9" spans="1:5" x14ac:dyDescent="0.45">
      <c r="A9" s="1"/>
      <c r="B9" s="55" t="s">
        <v>24</v>
      </c>
      <c r="C9" s="7">
        <f>'Fane 3. Omkostninger i ØR2021'!E20</f>
        <v>22929849.84473782</v>
      </c>
      <c r="D9" s="8" t="s">
        <v>3</v>
      </c>
      <c r="E9" s="1"/>
    </row>
    <row r="10" spans="1:5" x14ac:dyDescent="0.4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24774.751646887184</v>
      </c>
      <c r="D10" s="8" t="s">
        <v>3</v>
      </c>
      <c r="E10" s="1"/>
    </row>
    <row r="11" spans="1:5" x14ac:dyDescent="0.4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13105.100728778565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tillæg'!C14</f>
        <v>24505.602500000001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tillæg'!E14</f>
        <v>59182.660400000008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280020.33937337145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-222051.27998558889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-227501.91480059587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-380659.15336011007</v>
      </c>
      <c r="D21" s="8" t="s">
        <v>3</v>
      </c>
      <c r="E21" s="1"/>
    </row>
    <row r="22" spans="1:5" ht="17.100000000000001" customHeight="1" x14ac:dyDescent="0.45">
      <c r="A22" s="1"/>
      <c r="B22" s="63" t="s">
        <v>20</v>
      </c>
      <c r="C22" s="10">
        <f>SUM(C9,C12:C21)</f>
        <v>22463346.098864898</v>
      </c>
      <c r="D22" s="11" t="s">
        <v>3</v>
      </c>
      <c r="E22" s="1"/>
    </row>
    <row r="23" spans="1:5" ht="15" customHeight="1" x14ac:dyDescent="0.45">
      <c r="A23" s="1"/>
      <c r="B23" s="50" t="s">
        <v>12</v>
      </c>
      <c r="C23" s="51"/>
      <c r="D23" s="20"/>
      <c r="E23" s="1"/>
    </row>
    <row r="24" spans="1:5" ht="15" customHeight="1" x14ac:dyDescent="0.45">
      <c r="A24" s="1"/>
      <c r="B24" s="52" t="s">
        <v>12</v>
      </c>
      <c r="C24" s="10">
        <f>'Fane 6. Ikke-påvirkelige omk.'!C15</f>
        <v>15073124.661612967</v>
      </c>
      <c r="D24" s="11" t="s">
        <v>3</v>
      </c>
      <c r="E24" s="1"/>
    </row>
    <row r="25" spans="1:5" ht="15" customHeight="1" x14ac:dyDescent="0.45">
      <c r="A25" s="1"/>
      <c r="B25" s="50" t="s">
        <v>89</v>
      </c>
      <c r="C25" s="51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51"/>
      <c r="D29" s="20"/>
      <c r="E29" s="1"/>
    </row>
    <row r="30" spans="1:5" x14ac:dyDescent="0.4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45">
      <c r="A31" s="1"/>
      <c r="B31" s="36" t="s">
        <v>224</v>
      </c>
      <c r="C31" s="51"/>
      <c r="D31" s="20"/>
      <c r="E31" s="1"/>
    </row>
    <row r="32" spans="1:5" x14ac:dyDescent="0.4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50" t="s">
        <v>30</v>
      </c>
      <c r="C33" s="31">
        <f>SUM(C22,C24,C28,C30,C32)</f>
        <v>37536470.760477863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9bmKiMlEiaugGjHr0Sm1oK5r/RbeJkCcl249ujzfJuhCC3KEnapgZN01srfDSvvCHvyjglkEMu63FlkaXLefDg==" saltValue="qFh+oL79fNIViXh3tRRy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0" t="s">
        <v>13</v>
      </c>
      <c r="C8" s="51"/>
      <c r="D8" s="20"/>
      <c r="E8" s="1"/>
    </row>
    <row r="9" spans="1:5" ht="15" customHeight="1" x14ac:dyDescent="0.45">
      <c r="A9" s="1"/>
      <c r="B9" s="55" t="s">
        <v>134</v>
      </c>
      <c r="C9" s="7">
        <f>'Fane 2.1. Økonomisk ramme 2022'!C22</f>
        <v>22463346.098864898</v>
      </c>
      <c r="D9" s="8" t="s">
        <v>3</v>
      </c>
      <c r="E9" s="1"/>
    </row>
    <row r="10" spans="1:5" ht="15" customHeight="1" x14ac:dyDescent="0.4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6" t="s">
        <v>18</v>
      </c>
      <c r="C12" s="9">
        <f>SUM(C9:C11)*'Fane 12. Nøgletal'!C14</f>
        <v>74129.042126254164</v>
      </c>
      <c r="D12" s="8" t="s">
        <v>3</v>
      </c>
      <c r="E12" s="1"/>
    </row>
    <row r="13" spans="1:5" ht="15" customHeight="1" x14ac:dyDescent="0.45">
      <c r="A13" s="1"/>
      <c r="B13" s="46" t="s">
        <v>9</v>
      </c>
      <c r="C13" s="9">
        <f>-SUM(C9:C12)*'Fane 5. Individuelt eff. krav'!G10</f>
        <v>-214843.73948638159</v>
      </c>
      <c r="D13" s="8" t="s">
        <v>3</v>
      </c>
      <c r="E13" s="1"/>
    </row>
    <row r="14" spans="1:5" ht="15" customHeight="1" x14ac:dyDescent="0.45">
      <c r="A14" s="1"/>
      <c r="B14" s="46" t="s">
        <v>25</v>
      </c>
      <c r="C14" s="9">
        <f>-'Fane 4.1. Gen. krav - drift'!G44</f>
        <v>-223687.61769704908</v>
      </c>
      <c r="D14" s="8" t="s">
        <v>3</v>
      </c>
      <c r="E14" s="1"/>
    </row>
    <row r="15" spans="1:5" ht="15" customHeight="1" x14ac:dyDescent="0.45">
      <c r="A15" s="1"/>
      <c r="B15" s="46" t="s">
        <v>26</v>
      </c>
      <c r="C15" s="9">
        <f>-'Fane 4.2. Gen. krav - anlæg'!G44</f>
        <v>-200294.72131865256</v>
      </c>
      <c r="D15" s="8" t="s">
        <v>3</v>
      </c>
      <c r="E15" s="1"/>
    </row>
    <row r="16" spans="1:5" ht="15" customHeight="1" x14ac:dyDescent="0.45">
      <c r="A16" s="1"/>
      <c r="B16" s="47" t="s">
        <v>20</v>
      </c>
      <c r="C16" s="10">
        <f>SUM(C9:C15)</f>
        <v>21898649.06248907</v>
      </c>
      <c r="D16" s="11" t="s">
        <v>3</v>
      </c>
      <c r="E16" s="1"/>
    </row>
    <row r="17" spans="1:5" x14ac:dyDescent="0.45">
      <c r="A17" s="1"/>
      <c r="B17" s="50" t="s">
        <v>12</v>
      </c>
      <c r="C17" s="51"/>
      <c r="D17" s="20"/>
      <c r="E17" s="1"/>
    </row>
    <row r="18" spans="1:5" ht="15" customHeight="1" x14ac:dyDescent="0.45">
      <c r="A18" s="1"/>
      <c r="B18" s="52" t="s">
        <v>12</v>
      </c>
      <c r="C18" s="10">
        <f>'Fane 6. Ikke-påvirkelige omk.'!C15*(1+'Fane 12. Nøgletal'!C14)</f>
        <v>15122865.972996291</v>
      </c>
      <c r="D18" s="11" t="s">
        <v>3</v>
      </c>
      <c r="E18" s="1"/>
    </row>
    <row r="19" spans="1:5" ht="15" customHeight="1" x14ac:dyDescent="0.45">
      <c r="A19" s="1"/>
      <c r="B19" s="50" t="s">
        <v>89</v>
      </c>
      <c r="C19" s="51"/>
      <c r="D19" s="20"/>
      <c r="E19" s="1"/>
    </row>
    <row r="20" spans="1:5" ht="15" customHeight="1" x14ac:dyDescent="0.4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6" t="s">
        <v>161</v>
      </c>
      <c r="C23" s="51"/>
      <c r="D23" s="20"/>
      <c r="E23" s="1"/>
    </row>
    <row r="24" spans="1:5" ht="15" customHeight="1" x14ac:dyDescent="0.4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45">
      <c r="A25" s="1"/>
      <c r="B25" s="36" t="s">
        <v>224</v>
      </c>
      <c r="C25" s="51"/>
      <c r="D25" s="20"/>
      <c r="E25" s="1"/>
    </row>
    <row r="26" spans="1:5" x14ac:dyDescent="0.4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45">
      <c r="A27" s="1"/>
      <c r="B27" s="50" t="s">
        <v>97</v>
      </c>
      <c r="C27" s="12">
        <f>SUM(C16,C18,C22,C24,C26)</f>
        <v>37021515.035485357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1GRYz/d9HoOGnhSrq4XNCRNacrz8iLcXuLa4/6ciXssWSnMs9vUoMTRwJ9H0CkCXMHzNlpAhlXdZt9HAb1pojQ==" saltValue="vWJQR+ESEWQ8aOgch3Hq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185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0" t="s">
        <v>13</v>
      </c>
      <c r="C7" s="51"/>
      <c r="D7" s="20"/>
      <c r="E7" s="1"/>
    </row>
    <row r="8" spans="1:5" ht="15" customHeight="1" x14ac:dyDescent="0.45">
      <c r="A8" s="1"/>
      <c r="B8" s="55" t="s">
        <v>135</v>
      </c>
      <c r="C8" s="7">
        <f>'Fane 2.2. Økonomisk ramme 2023'!C16</f>
        <v>21898649.06248907</v>
      </c>
      <c r="D8" s="8" t="s">
        <v>3</v>
      </c>
      <c r="E8" s="1"/>
    </row>
    <row r="9" spans="1:5" ht="15" customHeight="1" x14ac:dyDescent="0.4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Nøgletal'!C14</f>
        <v>72265.541906213926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-209442.86899994992</v>
      </c>
      <c r="D12" s="8" t="s">
        <v>3</v>
      </c>
      <c r="E12" s="1"/>
    </row>
    <row r="13" spans="1:5" ht="15" customHeight="1" x14ac:dyDescent="0.45">
      <c r="A13" s="1"/>
      <c r="B13" s="46" t="s">
        <v>25</v>
      </c>
      <c r="C13" s="9">
        <f>-'Fane 4.1. Gen. krav - drift'!G50</f>
        <v>-219937.27109874037</v>
      </c>
      <c r="D13" s="8" t="s">
        <v>3</v>
      </c>
      <c r="E13" s="1"/>
    </row>
    <row r="14" spans="1:5" ht="15" customHeight="1" x14ac:dyDescent="0.45">
      <c r="A14" s="1"/>
      <c r="B14" s="46" t="s">
        <v>26</v>
      </c>
      <c r="C14" s="43">
        <f>-'Fane 4.2. Gen. krav - anlæg'!G54</f>
        <v>-197981.54962929885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21343552.914667297</v>
      </c>
      <c r="D15" s="11" t="s">
        <v>3</v>
      </c>
      <c r="E15" s="1"/>
    </row>
    <row r="16" spans="1:5" x14ac:dyDescent="0.45">
      <c r="A16" s="1"/>
      <c r="B16" s="50" t="s">
        <v>12</v>
      </c>
      <c r="C16" s="51"/>
      <c r="D16" s="20"/>
      <c r="E16" s="1"/>
    </row>
    <row r="17" spans="1:5" ht="15" customHeight="1" x14ac:dyDescent="0.45">
      <c r="A17" s="1"/>
      <c r="B17" s="52" t="s">
        <v>12</v>
      </c>
      <c r="C17" s="10">
        <f>'Fane 6. Ikke-påvirkelige omk.'!C15*(1+'Fane 12. Nøgletal'!C14)^2</f>
        <v>15172771.430707179</v>
      </c>
      <c r="D17" s="11" t="s">
        <v>3</v>
      </c>
      <c r="E17" s="1"/>
    </row>
    <row r="18" spans="1:5" ht="15" customHeight="1" x14ac:dyDescent="0.45">
      <c r="A18" s="1"/>
      <c r="B18" s="50" t="s">
        <v>89</v>
      </c>
      <c r="C18" s="51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0" t="s">
        <v>161</v>
      </c>
      <c r="C22" s="51"/>
      <c r="D22" s="20"/>
      <c r="E22" s="1"/>
    </row>
    <row r="23" spans="1:5" x14ac:dyDescent="0.4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51"/>
      <c r="D24" s="20"/>
      <c r="E24" s="1"/>
    </row>
    <row r="25" spans="1:5" ht="15" customHeight="1" x14ac:dyDescent="0.4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0" t="s">
        <v>186</v>
      </c>
      <c r="C26" s="12">
        <f>SUM(C15,C17,C21,C23,C25)</f>
        <v>36516324.34537448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ZgLAbPHqlzbeL3PCe4aYiP1jW3rhh0m8uttiIFAGSMb+HD7YyM8tgolyn9Vuy+6OOrDqNPlHf3iEK9fetW7WQ==" saltValue="Sh+I9a1SwKm+nMQxK1be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0" t="s">
        <v>13</v>
      </c>
      <c r="C7" s="51"/>
      <c r="D7" s="20"/>
      <c r="E7" s="1"/>
    </row>
    <row r="8" spans="1:5" ht="15" customHeight="1" x14ac:dyDescent="0.45">
      <c r="A8" s="1"/>
      <c r="B8" s="55" t="s">
        <v>188</v>
      </c>
      <c r="C8" s="7">
        <f>'Fane 2.3. Økonomisk ramme 2024'!C15</f>
        <v>21343552.914667297</v>
      </c>
      <c r="D8" s="8" t="s">
        <v>3</v>
      </c>
      <c r="E8" s="1"/>
    </row>
    <row r="9" spans="1:5" ht="15" customHeight="1" x14ac:dyDescent="0.4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Nøgletal'!C14</f>
        <v>70433.724618402077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-204133.823248367</v>
      </c>
      <c r="D12" s="8" t="s">
        <v>3</v>
      </c>
      <c r="E12" s="1"/>
    </row>
    <row r="13" spans="1:5" ht="15" customHeight="1" x14ac:dyDescent="0.45">
      <c r="A13" s="1"/>
      <c r="B13" s="46" t="s">
        <v>25</v>
      </c>
      <c r="C13" s="9">
        <f>-'Fane 4.1. Gen. krav - drift'!G56</f>
        <v>-216249.8028114989</v>
      </c>
      <c r="D13" s="8" t="s">
        <v>3</v>
      </c>
      <c r="E13" s="1"/>
    </row>
    <row r="14" spans="1:5" ht="15" customHeight="1" x14ac:dyDescent="0.45">
      <c r="A14" s="1"/>
      <c r="B14" s="46" t="s">
        <v>26</v>
      </c>
      <c r="C14" s="9">
        <f>-'Fane 4.2. Gen. krav - anlæg'!G60</f>
        <v>-195695.09238967803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20797907.920836154</v>
      </c>
      <c r="D15" s="11" t="s">
        <v>3</v>
      </c>
      <c r="E15" s="1"/>
    </row>
    <row r="16" spans="1:5" x14ac:dyDescent="0.45">
      <c r="A16" s="1"/>
      <c r="B16" s="50" t="s">
        <v>12</v>
      </c>
      <c r="C16" s="51"/>
      <c r="D16" s="20"/>
      <c r="E16" s="1"/>
    </row>
    <row r="17" spans="1:5" ht="15" customHeight="1" x14ac:dyDescent="0.45">
      <c r="A17" s="1"/>
      <c r="B17" s="52" t="s">
        <v>12</v>
      </c>
      <c r="C17" s="10">
        <f>'Fane 6. Ikke-påvirkelige omk.'!C15*(1+'Fane 12. Nøgletal'!C14)^3</f>
        <v>15222841.576428514</v>
      </c>
      <c r="D17" s="11" t="s">
        <v>3</v>
      </c>
      <c r="E17" s="1"/>
    </row>
    <row r="18" spans="1:5" ht="15" customHeight="1" x14ac:dyDescent="0.45">
      <c r="A18" s="1"/>
      <c r="B18" s="50" t="s">
        <v>89</v>
      </c>
      <c r="C18" s="51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0" t="s">
        <v>161</v>
      </c>
      <c r="C22" s="51"/>
      <c r="D22" s="20"/>
      <c r="E22" s="1"/>
    </row>
    <row r="23" spans="1:5" x14ac:dyDescent="0.4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1"/>
      <c r="D24" s="20"/>
      <c r="E24" s="1"/>
    </row>
    <row r="25" spans="1:5" x14ac:dyDescent="0.4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0" t="s">
        <v>189</v>
      </c>
      <c r="C26" s="12">
        <f>SUM(C15,C17,C21,C23,C25)</f>
        <v>36020749.497264668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HOdRzdkqXwcHwCjGrWHCovaFmGXH+PzNz/7OnArWpP0ThRokPVBpeGhK893XWTNve562n5aVRWlKwsFyLRJI8g==" saltValue="fNrppqNowkmo8wT0ubQd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0" t="s">
        <v>223</v>
      </c>
      <c r="C8" s="51"/>
      <c r="D8" s="51"/>
      <c r="E8" s="51"/>
      <c r="F8" s="20"/>
      <c r="G8" s="1"/>
    </row>
    <row r="9" spans="1:7" x14ac:dyDescent="0.45">
      <c r="A9" s="1"/>
      <c r="B9" s="97" t="s">
        <v>23</v>
      </c>
      <c r="C9" s="98"/>
      <c r="D9" s="99"/>
      <c r="E9" s="7">
        <v>23445939.141151264</v>
      </c>
      <c r="F9" s="8" t="s">
        <v>3</v>
      </c>
      <c r="G9" s="1"/>
    </row>
    <row r="10" spans="1:7" ht="15" customHeight="1" x14ac:dyDescent="0.45">
      <c r="A10" s="1"/>
      <c r="B10" s="90" t="s">
        <v>40</v>
      </c>
      <c r="C10" s="91"/>
      <c r="D10" s="92"/>
      <c r="E10" s="9">
        <v>25220.987399999998</v>
      </c>
      <c r="F10" s="8" t="s">
        <v>3</v>
      </c>
      <c r="G10" s="1"/>
    </row>
    <row r="11" spans="1:7" ht="15" customHeight="1" x14ac:dyDescent="0.45">
      <c r="A11" s="1"/>
      <c r="B11" s="90" t="s">
        <v>41</v>
      </c>
      <c r="C11" s="91"/>
      <c r="D11" s="92"/>
      <c r="E11" s="9">
        <v>13445.052599999999</v>
      </c>
      <c r="F11" s="8" t="s">
        <v>3</v>
      </c>
      <c r="G11" s="1"/>
    </row>
    <row r="12" spans="1:7" x14ac:dyDescent="0.4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4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4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4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45">
      <c r="A16" s="1"/>
      <c r="B16" s="90" t="s">
        <v>18</v>
      </c>
      <c r="C16" s="91"/>
      <c r="D16" s="92"/>
      <c r="E16" s="9">
        <v>286512.18321004545</v>
      </c>
      <c r="F16" s="8" t="s">
        <v>3</v>
      </c>
      <c r="G16" s="1"/>
    </row>
    <row r="17" spans="1:7" x14ac:dyDescent="0.45">
      <c r="A17" s="1"/>
      <c r="B17" s="90" t="s">
        <v>9</v>
      </c>
      <c r="C17" s="91"/>
      <c r="D17" s="92"/>
      <c r="E17" s="9">
        <v>-226603.72177362029</v>
      </c>
      <c r="F17" s="8" t="s">
        <v>3</v>
      </c>
      <c r="G17" s="1"/>
    </row>
    <row r="18" spans="1:7" x14ac:dyDescent="0.45">
      <c r="A18" s="1"/>
      <c r="B18" s="90" t="s">
        <v>25</v>
      </c>
      <c r="C18" s="91"/>
      <c r="D18" s="92"/>
      <c r="E18" s="9">
        <v>-228851.06333429189</v>
      </c>
      <c r="F18" s="8" t="s">
        <v>3</v>
      </c>
      <c r="G18" s="1"/>
    </row>
    <row r="19" spans="1:7" x14ac:dyDescent="0.45">
      <c r="A19" s="1"/>
      <c r="B19" s="90" t="s">
        <v>26</v>
      </c>
      <c r="C19" s="91"/>
      <c r="D19" s="92"/>
      <c r="E19" s="9">
        <v>-385812.73451557447</v>
      </c>
      <c r="F19" s="8" t="s">
        <v>3</v>
      </c>
      <c r="G19" s="1"/>
    </row>
    <row r="20" spans="1:7" x14ac:dyDescent="0.45">
      <c r="A20" s="1"/>
      <c r="B20" s="103" t="s">
        <v>20</v>
      </c>
      <c r="C20" s="104"/>
      <c r="D20" s="105"/>
      <c r="E20" s="10">
        <f>SUM(E9:E19)</f>
        <v>22929849.84473782</v>
      </c>
      <c r="F20" s="11" t="s">
        <v>3</v>
      </c>
      <c r="G20" s="1"/>
    </row>
    <row r="21" spans="1:7" x14ac:dyDescent="0.45">
      <c r="A21" s="1"/>
      <c r="B21" s="50" t="s">
        <v>12</v>
      </c>
      <c r="C21" s="51"/>
      <c r="D21" s="51"/>
      <c r="E21" s="51"/>
      <c r="F21" s="20"/>
      <c r="G21" s="1"/>
    </row>
    <row r="22" spans="1:7" x14ac:dyDescent="0.45">
      <c r="A22" s="1"/>
      <c r="B22" s="93" t="s">
        <v>12</v>
      </c>
      <c r="C22" s="94"/>
      <c r="D22" s="95"/>
      <c r="E22" s="10">
        <v>16294784.838817121</v>
      </c>
      <c r="F22" s="11" t="s">
        <v>3</v>
      </c>
      <c r="G22" s="1"/>
    </row>
    <row r="23" spans="1:7" ht="15" customHeight="1" x14ac:dyDescent="0.4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4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4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4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45">
      <c r="A27" s="1"/>
      <c r="B27" s="50" t="s">
        <v>161</v>
      </c>
      <c r="C27" s="51"/>
      <c r="D27" s="51"/>
      <c r="E27" s="51"/>
      <c r="F27" s="20"/>
      <c r="G27" s="1"/>
    </row>
    <row r="28" spans="1:7" x14ac:dyDescent="0.4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45">
      <c r="A29" s="1"/>
      <c r="B29" s="50" t="s">
        <v>246</v>
      </c>
      <c r="C29" s="51"/>
      <c r="D29" s="51"/>
      <c r="E29" s="51"/>
      <c r="F29" s="20"/>
      <c r="G29" s="1"/>
    </row>
    <row r="30" spans="1:7" ht="15" customHeight="1" x14ac:dyDescent="0.45">
      <c r="A30" s="1"/>
      <c r="B30" s="106" t="s">
        <v>247</v>
      </c>
      <c r="C30" s="107"/>
      <c r="D30" s="108"/>
      <c r="E30" s="10">
        <v>430.3494</v>
      </c>
      <c r="F30" s="11" t="s">
        <v>3</v>
      </c>
      <c r="G30" s="1"/>
    </row>
    <row r="31" spans="1:7" x14ac:dyDescent="0.45">
      <c r="A31" s="1"/>
      <c r="B31" s="50" t="s">
        <v>29</v>
      </c>
      <c r="C31" s="51"/>
      <c r="D31" s="51"/>
      <c r="E31" s="12">
        <f>E20+E22+E26+E28+E30</f>
        <v>39225065.032954939</v>
      </c>
      <c r="F31" s="13" t="s">
        <v>3</v>
      </c>
      <c r="G31" s="1"/>
    </row>
    <row r="32" spans="1:7" ht="27" customHeight="1" x14ac:dyDescent="0.45">
      <c r="A32" s="1"/>
      <c r="B32" s="100" t="s">
        <v>191</v>
      </c>
      <c r="C32" s="101"/>
      <c r="D32" s="101"/>
      <c r="E32" s="101"/>
      <c r="F32" s="102"/>
      <c r="G32" s="1"/>
    </row>
    <row r="33" spans="1:7" ht="27.7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gQHf2G2UoZqePh/k5GGO7EvcqWf+hGQ4RwoGlqFzngPrf0oAjOMn60lATXmF1zBKSBsk97DHtIzjUs4xyyV86g==" saltValue="ydm/eDXE1s9zYF0gLbFJA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4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4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4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43</v>
      </c>
      <c r="C5" s="115"/>
      <c r="D5" s="115"/>
      <c r="E5" s="115"/>
      <c r="F5" s="116"/>
      <c r="G5" s="24">
        <v>11276799.835869793</v>
      </c>
      <c r="H5" s="14" t="s">
        <v>3</v>
      </c>
      <c r="I5" s="1"/>
    </row>
    <row r="6" spans="1:9" x14ac:dyDescent="0.45">
      <c r="A6" s="1"/>
      <c r="B6" s="114" t="s">
        <v>44</v>
      </c>
      <c r="C6" s="115"/>
      <c r="D6" s="115"/>
      <c r="E6" s="115"/>
      <c r="F6" s="116"/>
      <c r="G6" s="24">
        <f>G5*'Fane 12. Nøgletal'!C29</f>
        <v>225535.99671739587</v>
      </c>
      <c r="H6" s="14" t="s">
        <v>3</v>
      </c>
      <c r="I6" s="1"/>
    </row>
    <row r="7" spans="1:9" x14ac:dyDescent="0.4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11191614.889909633</v>
      </c>
      <c r="H10" s="14" t="s">
        <v>3</v>
      </c>
      <c r="I10" s="1"/>
    </row>
    <row r="11" spans="1:9" x14ac:dyDescent="0.4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4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223832.29779819265</v>
      </c>
      <c r="H12" s="14" t="s">
        <v>3</v>
      </c>
      <c r="I12" s="1"/>
    </row>
    <row r="13" spans="1:9" x14ac:dyDescent="0.4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11153138.117918123</v>
      </c>
      <c r="H16" s="14" t="s">
        <v>3</v>
      </c>
      <c r="I16" s="1"/>
    </row>
    <row r="17" spans="1:9" x14ac:dyDescent="0.45">
      <c r="A17" s="1"/>
      <c r="B17" s="114" t="s">
        <v>125</v>
      </c>
      <c r="C17" s="115"/>
      <c r="D17" s="115"/>
      <c r="E17" s="115"/>
      <c r="F17" s="116"/>
      <c r="G17" s="24">
        <v>-671743.91070253449</v>
      </c>
      <c r="H17" s="14" t="s">
        <v>3</v>
      </c>
      <c r="I17" s="1"/>
    </row>
    <row r="18" spans="1:9" x14ac:dyDescent="0.45">
      <c r="A18" s="1"/>
      <c r="B18" s="117" t="s">
        <v>49</v>
      </c>
      <c r="C18" s="118"/>
      <c r="D18" s="118"/>
      <c r="E18" s="118"/>
      <c r="F18" s="119"/>
      <c r="G18" s="24">
        <v>615159.94993362983</v>
      </c>
      <c r="H18" s="14" t="s">
        <v>3</v>
      </c>
      <c r="I18" s="1"/>
    </row>
    <row r="19" spans="1:9" x14ac:dyDescent="0.4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221931.08314298437</v>
      </c>
      <c r="H19" s="14" t="s">
        <v>3</v>
      </c>
      <c r="I19" s="1"/>
    </row>
    <row r="20" spans="1:9" x14ac:dyDescent="0.4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11058404.203956937</v>
      </c>
      <c r="H23" s="14" t="s">
        <v>3</v>
      </c>
      <c r="I23" s="1"/>
    </row>
    <row r="24" spans="1:9" x14ac:dyDescent="0.45">
      <c r="A24" s="1"/>
      <c r="B24" s="117" t="s">
        <v>52</v>
      </c>
      <c r="C24" s="118"/>
      <c r="D24" s="118"/>
      <c r="E24" s="118"/>
      <c r="F24" s="119"/>
      <c r="G24" s="24">
        <v>451203.56419842003</v>
      </c>
      <c r="H24" s="14" t="s">
        <v>3</v>
      </c>
      <c r="I24" s="1"/>
    </row>
    <row r="25" spans="1:9" x14ac:dyDescent="0.4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230192.15536310713</v>
      </c>
      <c r="H25" s="14" t="s">
        <v>3</v>
      </c>
      <c r="I25" s="1"/>
    </row>
    <row r="26" spans="1:9" x14ac:dyDescent="0.4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11417024.483268315</v>
      </c>
      <c r="H29" s="14" t="s">
        <v>3</v>
      </c>
      <c r="I29" s="1"/>
    </row>
    <row r="30" spans="1:9" x14ac:dyDescent="0.4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25528.683446279996</v>
      </c>
      <c r="H30" s="14" t="s">
        <v>3</v>
      </c>
      <c r="I30" s="1"/>
    </row>
    <row r="31" spans="1:9" x14ac:dyDescent="0.4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228851.06333429192</v>
      </c>
      <c r="H31" s="14" t="s">
        <v>3</v>
      </c>
      <c r="I31" s="1"/>
    </row>
    <row r="32" spans="1:9" x14ac:dyDescent="0.4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11350509.269041544</v>
      </c>
      <c r="H35" s="14" t="s">
        <v>3</v>
      </c>
      <c r="I35" s="1"/>
    </row>
    <row r="36" spans="1:9" x14ac:dyDescent="0.4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24856.508327321913</v>
      </c>
      <c r="H36" s="14" t="s">
        <v>3</v>
      </c>
      <c r="I36" s="1"/>
    </row>
    <row r="37" spans="1:9" x14ac:dyDescent="0.45">
      <c r="A37" s="1"/>
      <c r="B37" s="114" t="s">
        <v>221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24586.470988250003</v>
      </c>
      <c r="H37" s="14" t="s">
        <v>3</v>
      </c>
      <c r="I37" s="1"/>
    </row>
    <row r="38" spans="1:9" x14ac:dyDescent="0.4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227501.91480059587</v>
      </c>
      <c r="H38" s="14" t="s">
        <v>3</v>
      </c>
      <c r="I38" s="1"/>
    </row>
    <row r="39" spans="1:9" x14ac:dyDescent="0.4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11184380.884852454</v>
      </c>
      <c r="H42" s="14" t="s">
        <v>3</v>
      </c>
      <c r="I42" s="1"/>
    </row>
    <row r="43" spans="1:9" x14ac:dyDescent="0.45">
      <c r="A43" s="1"/>
      <c r="B43" s="114" t="s">
        <v>92</v>
      </c>
      <c r="C43" s="115"/>
      <c r="D43" s="115"/>
      <c r="E43" s="115"/>
      <c r="F43" s="116"/>
      <c r="G43" s="9">
        <f>-'Fane 11. Bortfald'!C19*(1+'Fane 12. Nøgletal'!C14)</f>
        <v>0</v>
      </c>
      <c r="H43" s="14" t="s">
        <v>3</v>
      </c>
      <c r="I43" s="1"/>
    </row>
    <row r="44" spans="1:9" x14ac:dyDescent="0.4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223687.61769704908</v>
      </c>
      <c r="H44" s="14" t="s">
        <v>3</v>
      </c>
      <c r="I44" s="1"/>
    </row>
    <row r="45" spans="1:9" x14ac:dyDescent="0.4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4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10996863.554937018</v>
      </c>
      <c r="H48" s="14" t="s">
        <v>3</v>
      </c>
      <c r="I48" s="1"/>
    </row>
    <row r="49" spans="1:9" x14ac:dyDescent="0.45">
      <c r="A49" s="1"/>
      <c r="B49" s="114" t="s">
        <v>150</v>
      </c>
      <c r="C49" s="115"/>
      <c r="D49" s="115"/>
      <c r="E49" s="115"/>
      <c r="F49" s="116"/>
      <c r="G49" s="9">
        <f>-'Fane 11. Bortfald'!C26*(1+'Fane 12. Nøgletal'!C14)</f>
        <v>0</v>
      </c>
      <c r="H49" s="14" t="s">
        <v>3</v>
      </c>
      <c r="I49" s="1"/>
    </row>
    <row r="50" spans="1:9" x14ac:dyDescent="0.4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219937.27109874037</v>
      </c>
      <c r="H50" s="14" t="s">
        <v>3</v>
      </c>
      <c r="I50" s="1"/>
    </row>
    <row r="51" spans="1:9" x14ac:dyDescent="0.4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4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10812490.140574945</v>
      </c>
      <c r="H54" s="14" t="s">
        <v>3</v>
      </c>
      <c r="I54" s="1"/>
    </row>
    <row r="55" spans="1:9" x14ac:dyDescent="0.45">
      <c r="A55" s="1"/>
      <c r="B55" s="114" t="s">
        <v>200</v>
      </c>
      <c r="C55" s="115"/>
      <c r="D55" s="115"/>
      <c r="E55" s="115"/>
      <c r="F55" s="116"/>
      <c r="G55" s="9">
        <f>-'Fane 11. Bortfald'!C33*(1+'Fane 12. Nøgletal'!C14)</f>
        <v>0</v>
      </c>
      <c r="H55" s="14" t="s">
        <v>3</v>
      </c>
      <c r="I55" s="1"/>
    </row>
    <row r="56" spans="1:9" x14ac:dyDescent="0.4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216249.8028114989</v>
      </c>
      <c r="H56" s="14" t="s">
        <v>3</v>
      </c>
      <c r="I56" s="1"/>
    </row>
    <row r="57" spans="1:9" x14ac:dyDescent="0.4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KofsFs80R4NdGu79hSQPADrNxSg89gIONkG3rWRK7u2yGle3gADGviaNqgV2o6SnutPzDndPXrS0goNv7ZlfHg==" saltValue="FgcaVKRgqV1Ea31H1TMge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4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4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4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62</v>
      </c>
      <c r="C5" s="115"/>
      <c r="D5" s="115"/>
      <c r="E5" s="115"/>
      <c r="F5" s="116"/>
      <c r="G5" s="24">
        <v>12633751.239371443</v>
      </c>
      <c r="H5" s="14" t="s">
        <v>3</v>
      </c>
      <c r="I5" s="1"/>
    </row>
    <row r="6" spans="1:9" x14ac:dyDescent="0.45">
      <c r="A6" s="1"/>
      <c r="B6" s="114" t="s">
        <v>59</v>
      </c>
      <c r="C6" s="115"/>
      <c r="D6" s="115"/>
      <c r="E6" s="115"/>
      <c r="F6" s="116"/>
      <c r="G6" s="24">
        <f>G5*'Fane 12. Nøgletal'!C19</f>
        <v>114967.13627828014</v>
      </c>
      <c r="H6" s="14" t="s">
        <v>3</v>
      </c>
      <c r="I6" s="1"/>
    </row>
    <row r="7" spans="1:9" x14ac:dyDescent="0.4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12677772.661202444</v>
      </c>
      <c r="H10" s="14" t="s">
        <v>3</v>
      </c>
      <c r="I10" s="1"/>
    </row>
    <row r="11" spans="1:9" x14ac:dyDescent="0.45">
      <c r="A11" s="1"/>
      <c r="B11" s="117" t="s">
        <v>65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4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115367.73121694225</v>
      </c>
      <c r="H12" s="14" t="s">
        <v>3</v>
      </c>
      <c r="I12" s="1"/>
    </row>
    <row r="13" spans="1:9" x14ac:dyDescent="0.4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12774709.573302254</v>
      </c>
      <c r="H16" s="14" t="s">
        <v>3</v>
      </c>
      <c r="I16" s="1"/>
    </row>
    <row r="17" spans="1:9" x14ac:dyDescent="0.45">
      <c r="A17" s="1"/>
      <c r="B17" s="114" t="s">
        <v>126</v>
      </c>
      <c r="C17" s="115"/>
      <c r="D17" s="115"/>
      <c r="E17" s="115"/>
      <c r="F17" s="116"/>
      <c r="G17" s="24">
        <v>1072495.838446147</v>
      </c>
      <c r="H17" s="14" t="s">
        <v>3</v>
      </c>
      <c r="I17" s="1"/>
    </row>
    <row r="18" spans="1:9" x14ac:dyDescent="0.45">
      <c r="A18" s="1"/>
      <c r="B18" s="117" t="s">
        <v>69</v>
      </c>
      <c r="C18" s="118"/>
      <c r="D18" s="118"/>
      <c r="E18" s="118"/>
      <c r="F18" s="119"/>
      <c r="G18" s="24">
        <v>3430.0619683699992</v>
      </c>
      <c r="H18" s="14" t="s">
        <v>3</v>
      </c>
      <c r="I18" s="1"/>
    </row>
    <row r="19" spans="1:9" x14ac:dyDescent="0.4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120500.52862133591</v>
      </c>
      <c r="H19" s="14" t="s">
        <v>3</v>
      </c>
      <c r="I19" s="1"/>
    </row>
    <row r="20" spans="1:9" x14ac:dyDescent="0.4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13962174.225667546</v>
      </c>
      <c r="H23" s="14" t="s">
        <v>3</v>
      </c>
      <c r="I23" s="1"/>
    </row>
    <row r="24" spans="1:9" x14ac:dyDescent="0.45">
      <c r="A24" s="1"/>
      <c r="B24" s="117" t="s">
        <v>73</v>
      </c>
      <c r="C24" s="118"/>
      <c r="D24" s="118"/>
      <c r="E24" s="118"/>
      <c r="F24" s="119"/>
      <c r="G24" s="24">
        <v>6492.4368339600005</v>
      </c>
      <c r="H24" s="14" t="s">
        <v>3</v>
      </c>
      <c r="I24" s="1"/>
    </row>
    <row r="25" spans="1:9" x14ac:dyDescent="0.4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121655.3009693921</v>
      </c>
      <c r="H25" s="14" t="s">
        <v>3</v>
      </c>
      <c r="I25" s="1"/>
    </row>
    <row r="26" spans="1:9" x14ac:dyDescent="0.4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14015944.900142804</v>
      </c>
      <c r="H29" s="14" t="s">
        <v>3</v>
      </c>
      <c r="I29" s="1"/>
    </row>
    <row r="30" spans="1:9" x14ac:dyDescent="0.45">
      <c r="A30" s="1"/>
      <c r="B30" s="114" t="s">
        <v>152</v>
      </c>
      <c r="C30" s="115"/>
      <c r="D30" s="115"/>
      <c r="E30" s="115"/>
      <c r="F30" s="116"/>
      <c r="G30" s="24">
        <v>13609.08224172</v>
      </c>
      <c r="H30" s="14" t="s">
        <v>3</v>
      </c>
      <c r="I30" s="1"/>
    </row>
    <row r="31" spans="1:9" x14ac:dyDescent="0.4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385812.73451557441</v>
      </c>
      <c r="H31" s="14" t="s">
        <v>3</v>
      </c>
      <c r="I31" s="1"/>
    </row>
    <row r="32" spans="1:9" x14ac:dyDescent="0.4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13810194.89109295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13148.347561183535</v>
      </c>
      <c r="H36" s="14" t="s">
        <v>3</v>
      </c>
      <c r="I36" s="38"/>
    </row>
    <row r="37" spans="1:9" x14ac:dyDescent="0.4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59377.96317932001</v>
      </c>
      <c r="H37" s="14" t="s">
        <v>3</v>
      </c>
      <c r="I37" s="1"/>
    </row>
    <row r="38" spans="1:9" x14ac:dyDescent="0.4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380659.15336011007</v>
      </c>
      <c r="H38" s="14" t="s">
        <v>3</v>
      </c>
      <c r="I38" s="1"/>
    </row>
    <row r="39" spans="1:9" x14ac:dyDescent="0.4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13533427.116125172</v>
      </c>
      <c r="H42" s="14" t="s">
        <v>3</v>
      </c>
      <c r="I42" s="1"/>
    </row>
    <row r="43" spans="1:9" x14ac:dyDescent="0.45">
      <c r="A43" s="1"/>
      <c r="B43" s="114" t="s">
        <v>96</v>
      </c>
      <c r="C43" s="115"/>
      <c r="D43" s="115"/>
      <c r="E43" s="115"/>
      <c r="F43" s="116"/>
      <c r="G43" s="9">
        <f>-'Fane 11. Bortfald'!E19*(1+'Fane 12. Nøgletal'!C14)</f>
        <v>0</v>
      </c>
      <c r="H43" s="14" t="s">
        <v>3</v>
      </c>
      <c r="I43" s="1"/>
    </row>
    <row r="44" spans="1:9" x14ac:dyDescent="0.4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200294.72131865256</v>
      </c>
      <c r="H44" s="14" t="s">
        <v>3</v>
      </c>
      <c r="I44" s="1"/>
    </row>
    <row r="45" spans="1:9" x14ac:dyDescent="0.4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1" t="s">
        <v>153</v>
      </c>
      <c r="C51" s="112"/>
      <c r="D51" s="112"/>
      <c r="E51" s="112"/>
      <c r="F51" s="112"/>
      <c r="G51" s="112"/>
      <c r="H51" s="113"/>
      <c r="I51" s="1"/>
    </row>
    <row r="52" spans="1:9" x14ac:dyDescent="0.45">
      <c r="A52" s="1"/>
      <c r="B52" s="114" t="s">
        <v>154</v>
      </c>
      <c r="C52" s="115"/>
      <c r="D52" s="115"/>
      <c r="E52" s="115"/>
      <c r="F52" s="116"/>
      <c r="G52" s="24">
        <f>(G42+G43-G44)*(1+'Fane 12. Nøgletal'!C14)</f>
        <v>13377131.731709382</v>
      </c>
      <c r="H52" s="14" t="s">
        <v>3</v>
      </c>
      <c r="I52" s="1"/>
    </row>
    <row r="53" spans="1:9" x14ac:dyDescent="0.45">
      <c r="A53" s="1"/>
      <c r="B53" s="114" t="s">
        <v>155</v>
      </c>
      <c r="C53" s="115"/>
      <c r="D53" s="115"/>
      <c r="E53" s="115"/>
      <c r="F53" s="116"/>
      <c r="G53" s="9">
        <f>-'Fane 11. Bortfald'!E26*(1+'Fane 12. Nøgletal'!C13)</f>
        <v>0</v>
      </c>
      <c r="H53" s="14" t="s">
        <v>3</v>
      </c>
      <c r="I53" s="1"/>
    </row>
    <row r="54" spans="1:9" x14ac:dyDescent="0.45">
      <c r="A54" s="1"/>
      <c r="B54" s="114" t="s">
        <v>156</v>
      </c>
      <c r="C54" s="115"/>
      <c r="D54" s="115"/>
      <c r="E54" s="115"/>
      <c r="F54" s="116"/>
      <c r="G54" s="24">
        <f>(G52+G53)*'Fane 12. Nøgletal'!C24</f>
        <v>197981.54962929885</v>
      </c>
      <c r="H54" s="14" t="s">
        <v>3</v>
      </c>
      <c r="I54" s="1"/>
    </row>
    <row r="55" spans="1:9" x14ac:dyDescent="0.45">
      <c r="A55" s="1"/>
      <c r="B55" s="50"/>
      <c r="C55" s="51"/>
      <c r="D55" s="51"/>
      <c r="E55" s="51"/>
      <c r="F55" s="51"/>
      <c r="G55" s="51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1" t="s">
        <v>194</v>
      </c>
      <c r="C57" s="112"/>
      <c r="D57" s="112"/>
      <c r="E57" s="112"/>
      <c r="F57" s="112"/>
      <c r="G57" s="112"/>
      <c r="H57" s="113"/>
      <c r="I57" s="1"/>
    </row>
    <row r="58" spans="1:9" x14ac:dyDescent="0.45">
      <c r="A58" s="1"/>
      <c r="B58" s="114" t="s">
        <v>195</v>
      </c>
      <c r="C58" s="115"/>
      <c r="D58" s="115"/>
      <c r="E58" s="115"/>
      <c r="F58" s="116"/>
      <c r="G58" s="24">
        <f>(G52+G53-G54)*(1+'Fane 12. Nøgletal'!C14)</f>
        <v>13222641.377680948</v>
      </c>
      <c r="H58" s="14" t="s">
        <v>3</v>
      </c>
      <c r="I58" s="1"/>
    </row>
    <row r="59" spans="1:9" x14ac:dyDescent="0.45">
      <c r="A59" s="1"/>
      <c r="B59" s="114" t="s">
        <v>196</v>
      </c>
      <c r="C59" s="115"/>
      <c r="D59" s="115"/>
      <c r="E59" s="115"/>
      <c r="F59" s="116"/>
      <c r="G59" s="9">
        <f>-'Fane 11. Bortfald'!E33*(1+'Fane 12. Nøgletal'!C14)</f>
        <v>0</v>
      </c>
      <c r="H59" s="14" t="s">
        <v>3</v>
      </c>
      <c r="I59" s="1"/>
    </row>
    <row r="60" spans="1:9" x14ac:dyDescent="0.45">
      <c r="A60" s="1"/>
      <c r="B60" s="114" t="s">
        <v>197</v>
      </c>
      <c r="C60" s="115"/>
      <c r="D60" s="115"/>
      <c r="E60" s="115"/>
      <c r="F60" s="116"/>
      <c r="G60" s="24">
        <f>(G58+G59)*'Fane 12. Nøgletal'!C24</f>
        <v>195695.09238967803</v>
      </c>
      <c r="H60" s="14" t="s">
        <v>3</v>
      </c>
      <c r="I60" s="1"/>
    </row>
    <row r="61" spans="1:9" x14ac:dyDescent="0.45">
      <c r="A61" s="1"/>
      <c r="B61" s="50"/>
      <c r="C61" s="51"/>
      <c r="D61" s="51"/>
      <c r="E61" s="51"/>
      <c r="F61" s="51"/>
      <c r="G61" s="51"/>
      <c r="H61" s="20"/>
      <c r="I61" s="1"/>
    </row>
  </sheetData>
  <sheetProtection algorithmName="SHA-512" hashValue="tj8A/fYiJPwf1DjAm2NLS2qAKLpVaelBy0oGdbABURVkLtfYqvg0+ETDOlQ+rmHO+jHUekcQbDHzhlSU8FE8Fg==" saltValue="63oAzKTBlg2cWfYP/2QbKg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45">
      <c r="A9" s="1"/>
      <c r="B9" s="114" t="s">
        <v>105</v>
      </c>
      <c r="C9" s="115"/>
      <c r="D9" s="115"/>
      <c r="E9" s="115"/>
      <c r="F9" s="116"/>
      <c r="G9" s="44">
        <v>1.7664365816824099E-2</v>
      </c>
      <c r="H9" s="14"/>
      <c r="I9" s="1"/>
    </row>
    <row r="10" spans="1:9" x14ac:dyDescent="0.45">
      <c r="A10" s="1"/>
      <c r="B10" s="114" t="s">
        <v>141</v>
      </c>
      <c r="C10" s="115"/>
      <c r="D10" s="115"/>
      <c r="E10" s="115"/>
      <c r="F10" s="116"/>
      <c r="G10" s="44">
        <v>9.5327332872183132E-3</v>
      </c>
      <c r="H10" s="14"/>
      <c r="I10" s="1"/>
    </row>
    <row r="11" spans="1:9" x14ac:dyDescent="0.4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4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4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jjl8VRv3db2NB2USNI10s55hv3mC9qkWLfU5lQbDztuFjj6x2tfN0vIhGRXLDd3EL8QBnRq+JhNq0ykS0kIzg==" saltValue="Aon+Vk7nayFY6wcqd7wkd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2021-09-09T22:33:05Z</dcterms:modified>
</cp:coreProperties>
</file>