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kanderborg Vand AS (V16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12" i="37" l="1"/>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<sst xmlns="http://schemas.openxmlformats.org/spreadsheetml/2006/main" count="514" uniqueCount="256">
  <si>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</si>
  <si>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</si>
  <si>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</si>
  <si>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</si>
  <si>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</si>
  <si>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</si>
  <si>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</si>
  <si>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</si>
  <si>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</si>
  <si>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</si>
  <si>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</si>
  <si>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</si>
  <si>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</si>
  <si>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</si>
  <si>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</si>
  <si>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</si>
  <si>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</si>
  <si>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</si>
  <si>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</si>
  <si>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</si>
  <si>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</si>
  <si>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</si>
  <si>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</si>
  <si>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</si>
  <si>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</si>
  <si>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</si>
  <si>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</si>
  <si>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</si>
  <si>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</si>
  <si>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</si>
  <si>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</si>
  <si>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</si>
  <si>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</si>
  <si>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</si>
  <si>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</si>
  <si>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</si>
  <si>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</si>
  <si>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</si>
  <si>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</si>
  <si>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</si>
  <si>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</si>
  <si>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</si>
  <si>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</si>
  <si>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</si>
  <si>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</si>
  <si>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</si>
  <si>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</si>
  <si>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</si>
  <si>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</si>
  <si>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</si>
  <si>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</si>
  <si>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</si>
  <si>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</si>
  <si>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</si>
  <si>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</si>
  <si>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</si>
  <si>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</si>
  <si>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</si>
  <si>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</si>
  <si>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</si>
  <si>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</si>
  <si>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</si>
  <si>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</si>
  <si>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</si>
  <si>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</si>
  <si>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</si>
  <si>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</si>
  <si>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</si>
  <si>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</si>
  <si>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</si>
  <si>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</si>
  <si>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</si>
  <si>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</si>
  <si>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</si>
  <si>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</si>
  <si>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</si>
  <si>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</si>
  <si>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</si>
  <si>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</si>
  <si>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</si>
  <si>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</si>
  <si>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</si>
  <si>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</si>
  <si>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</si>
  <si>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</si>
  <si>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</si>
  <si>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</si>
  <si>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</si>
  <si>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</si>
  <si>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</si>
  <si>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</si>
  <si>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</si>
  <si>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</si>
  <si>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</si>
  <si>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</si>
  <si>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</si>
  <si>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</si>
  <si>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</si>
  <si>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</si>
  <si>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</si>
  <si>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</si>
  <si>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</si>
  <si>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</si>
  <si>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</si>
  <si>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</si>
  <si>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</si>
  <si>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</si>
  <si>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</si>
  <si>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</si>
  <si>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</si>
  <si>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</si>
  <si>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</si>
  <si>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</si>
  <si>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</si>
  <si>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</si>
  <si>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</si>
  <si>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</si>
  <si>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</si>
  <si>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</si>
  <si>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</si>
  <si>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</si>
  <si>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</si>
  <si>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</si>
  <si>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</si>
  <si>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</si>
  <si>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</si>
  <si>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</si>
  <si>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</si>
  <si>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</si>
  <si>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</si>
  <si>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</si>
  <si>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</si>
  <si>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</si>
  <si>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</si>
  <si>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</si>
  <si>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</si>
  <si>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</si>
  <si>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</si>
  <si>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</si>
  <si>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</si>
  <si>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</si>
  <si>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</si>
  <si>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</si>
  <si>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</si>
  <si>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</si>
  <si>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</si>
  <si>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</si>
  <si>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</si>
  <si>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</si>
  <si>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</si>
  <si>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</si>
  <si>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</si>
  <si>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</si>
  <si>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</si>
  <si>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</si>
  <si>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</si>
  <si>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</si>
  <si>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</si>
  <si>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</si>
  <si>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</si>
  <si>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</si>
  <si>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</si>
  <si>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</si>
  <si>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</si>
  <si>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</si>
  <si>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</si>
  <si>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</si>
  <si>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</si>
  <si>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</si>
  <si>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</si>
  <si>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</si>
  <si>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</si>
  <si>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</si>
  <si>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</si>
  <si>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</si>
  <si>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</si>
  <si>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</si>
  <si>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</si>
  <si>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</si>
  <si>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</si>
  <si>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</si>
  <si>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</si>
  <si>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</si>
  <si>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</si>
  <si>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</si>
  <si>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</si>
  <si>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</si>
  <si>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</si>
  <si>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</si>
  <si>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</si>
  <si>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</si>
  <si>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</si>
  <si>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</si>
  <si>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</si>
  <si>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</si>
  <si>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</si>
  <si>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</si>
  <si>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</si>
  <si>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</si>
  <si>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</si>
  <si>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</si>
  <si>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</si>
  <si>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</si>
  <si>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</si>
  <si>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</si>
  <si>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</si>
  <si>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</si>
  <si>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</si>
  <si>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</si>
  <si>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</si>
  <si>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</si>
  <si>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</si>
  <si>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</si>
  <si>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</si>
  <si>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</si>
  <si>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</si>
  <si>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</si>
  <si>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</si>
  <si>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</si>
  <si>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</si>
  <si>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</si>
  <si>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</si>
  <si>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</si>
  <si>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</si>
  <si>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</si>
  <si>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</si>
  <si>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</si>
  <si>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</si>
  <si>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</si>
  <si>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</si>
  <si>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</si>
  <si>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</si>
  <si>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</si>
  <si>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</si>
  <si>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</si>
  <si>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Vandsamarbejde etableret i medfør af § 48 i vandforsyningsloven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</si>
  <si>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</si>
  <si>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</si>
  <si>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</si>
  <si>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</si>
  <si>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</si>
  <si>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</si>
  <si>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</si>
  <si>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</si>
  <si>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</si>
  <si>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</si>
  <si>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</si>
  <si>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</si>
  <si>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</si>
  <si>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</si>
  <si>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</si>
  <si>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Byggemodninger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</si>
  <si>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</si>
  <si>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</si>
  <si>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Filterskyllevand og nødforsyning</t>
  </si>
  <si>
    <t>Reducering af vandtab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</si>
</sst>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6" t="s">
        <v>194</v>
      </c>
      <c r="E8" s="96"/>
      <c r="F8" s="96"/>
      <c r="G8" s="9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5" t="s">
        <v>5</v>
      </c>
      <c r="E11" s="95"/>
      <c r="F11" s="95"/>
      <c r="G11" s="95"/>
      <c r="H11" s="5"/>
      <c r="I11" s="1"/>
    </row>
    <row r="12" spans="1:9" x14ac:dyDescent="0.25">
      <c r="A12" s="1"/>
      <c r="B12" s="1"/>
      <c r="C12" s="1"/>
      <c r="D12" s="1"/>
      <c r="E12" s="1"/>
      <c r="F12" s="1"/>
      <c r="G12" s="1"/>
      <c r="H12" s="1"/>
      <c r="I12" s="1"/>
    </row>
    <row r="13" spans="1:9" x14ac:dyDescent="0.25">
      <c r="A13" s="1"/>
      <c r="B13" s="1"/>
      <c r="C13" s="6" t="s">
        <v>6</v>
      </c>
      <c r="D13" s="91" t="s">
        <v>161</v>
      </c>
      <c r="E13" s="92"/>
      <c r="F13" s="92"/>
      <c r="G13" s="93"/>
      <c r="H13" s="1"/>
      <c r="I13" s="1"/>
    </row>
    <row r="14" spans="1:9" x14ac:dyDescent="0.25">
      <c r="A14" s="1"/>
      <c r="B14" s="1"/>
      <c r="C14" s="6" t="s">
        <v>14</v>
      </c>
      <c r="D14" s="91" t="s">
        <v>204</v>
      </c>
      <c r="E14" s="92"/>
      <c r="F14" s="92"/>
      <c r="G14" s="93"/>
      <c r="H14" s="1"/>
      <c r="I14" s="1"/>
    </row>
    <row r="15" spans="1:9" x14ac:dyDescent="0.25">
      <c r="A15" s="1"/>
      <c r="B15" s="1"/>
      <c r="C15" s="6" t="s">
        <v>32</v>
      </c>
      <c r="D15" s="91" t="s">
        <v>137</v>
      </c>
      <c r="E15" s="92"/>
      <c r="F15" s="92"/>
      <c r="G15" s="93"/>
      <c r="H15" s="1"/>
      <c r="I15" s="1"/>
    </row>
    <row r="16" spans="1:9" x14ac:dyDescent="0.25">
      <c r="A16" s="1"/>
      <c r="B16" s="1"/>
      <c r="C16" s="6" t="s">
        <v>33</v>
      </c>
      <c r="D16" s="91" t="s">
        <v>162</v>
      </c>
      <c r="E16" s="92"/>
      <c r="F16" s="92"/>
      <c r="G16" s="93"/>
      <c r="H16" s="1"/>
      <c r="I16" s="1"/>
    </row>
    <row r="17" spans="1:9" x14ac:dyDescent="0.25">
      <c r="A17" s="1"/>
      <c r="B17" s="1"/>
      <c r="C17" s="6" t="s">
        <v>110</v>
      </c>
      <c r="D17" s="91" t="s">
        <v>163</v>
      </c>
      <c r="E17" s="92"/>
      <c r="F17" s="92"/>
      <c r="G17" s="93"/>
      <c r="H17" s="1"/>
      <c r="I17" s="1"/>
    </row>
    <row r="18" spans="1:9" x14ac:dyDescent="0.25">
      <c r="A18" s="1"/>
      <c r="B18" s="1"/>
      <c r="C18" s="6" t="s">
        <v>94</v>
      </c>
      <c r="D18" s="97" t="s">
        <v>86</v>
      </c>
      <c r="E18" s="98"/>
      <c r="F18" s="98"/>
      <c r="G18" s="99"/>
      <c r="H18" s="1"/>
      <c r="I18" s="1"/>
    </row>
    <row r="19" spans="1:9" x14ac:dyDescent="0.25">
      <c r="A19" s="1"/>
      <c r="B19" s="1"/>
      <c r="C19" s="6" t="s">
        <v>95</v>
      </c>
      <c r="D19" s="97" t="s">
        <v>87</v>
      </c>
      <c r="E19" s="98"/>
      <c r="F19" s="98"/>
      <c r="G19" s="99"/>
      <c r="H19" s="1"/>
      <c r="I19" s="1"/>
    </row>
    <row r="20" spans="1:9" x14ac:dyDescent="0.25">
      <c r="A20" s="1"/>
      <c r="B20" s="1"/>
      <c r="C20" s="6" t="s">
        <v>7</v>
      </c>
      <c r="D20" s="97" t="s">
        <v>9</v>
      </c>
      <c r="E20" s="98"/>
      <c r="F20" s="98"/>
      <c r="G20" s="99"/>
      <c r="H20" s="1"/>
      <c r="I20" s="1"/>
    </row>
    <row r="21" spans="1:9" x14ac:dyDescent="0.25">
      <c r="A21" s="1"/>
      <c r="B21" s="1"/>
      <c r="C21" s="6" t="s">
        <v>96</v>
      </c>
      <c r="D21" s="88" t="s">
        <v>11</v>
      </c>
      <c r="E21" s="89"/>
      <c r="F21" s="89"/>
      <c r="G21" s="90"/>
      <c r="H21" s="1"/>
      <c r="I21" s="1"/>
    </row>
    <row r="22" spans="1:9" x14ac:dyDescent="0.25">
      <c r="A22" s="1"/>
      <c r="B22" s="1"/>
      <c r="C22" s="6" t="s">
        <v>78</v>
      </c>
      <c r="D22" s="82" t="s">
        <v>164</v>
      </c>
      <c r="E22" s="83"/>
      <c r="F22" s="83"/>
      <c r="G22" s="84"/>
      <c r="H22" s="1"/>
      <c r="I22" s="1"/>
    </row>
    <row r="23" spans="1:9" x14ac:dyDescent="0.25">
      <c r="A23" s="1"/>
      <c r="B23" s="1"/>
      <c r="C23" s="6" t="s">
        <v>8</v>
      </c>
      <c r="D23" s="82" t="s">
        <v>219</v>
      </c>
      <c r="E23" s="83"/>
      <c r="F23" s="83"/>
      <c r="G23" s="84"/>
      <c r="H23" s="1"/>
      <c r="I23" s="1"/>
    </row>
    <row r="24" spans="1:9" x14ac:dyDescent="0.25">
      <c r="A24" s="1"/>
      <c r="B24" s="1"/>
      <c r="C24" s="6" t="s">
        <v>215</v>
      </c>
      <c r="D24" s="82" t="s">
        <v>205</v>
      </c>
      <c r="E24" s="83"/>
      <c r="F24" s="83"/>
      <c r="G24" s="84"/>
      <c r="H24" s="1"/>
      <c r="I24" s="1"/>
    </row>
    <row r="25" spans="1:9" x14ac:dyDescent="0.25">
      <c r="A25" s="1"/>
      <c r="B25" s="1"/>
      <c r="C25" s="6" t="s">
        <v>216</v>
      </c>
      <c r="D25" s="82" t="s">
        <v>79</v>
      </c>
      <c r="E25" s="83"/>
      <c r="F25" s="83"/>
      <c r="G25" s="84"/>
      <c r="H25" s="1"/>
      <c r="I25" s="1"/>
    </row>
    <row r="26" spans="1:9" x14ac:dyDescent="0.25">
      <c r="A26" s="1"/>
      <c r="B26" s="1"/>
      <c r="C26" s="6" t="s">
        <v>217</v>
      </c>
      <c r="D26" s="82" t="s">
        <v>80</v>
      </c>
      <c r="E26" s="83"/>
      <c r="F26" s="83"/>
      <c r="G26" s="84"/>
      <c r="H26" s="1"/>
      <c r="I26" s="1"/>
    </row>
    <row r="27" spans="1:9" x14ac:dyDescent="0.25">
      <c r="A27" s="1"/>
      <c r="B27" s="1"/>
      <c r="C27" s="6" t="s">
        <v>97</v>
      </c>
      <c r="D27" s="82" t="s">
        <v>111</v>
      </c>
      <c r="E27" s="83"/>
      <c r="F27" s="83"/>
      <c r="G27" s="84"/>
      <c r="H27" s="1"/>
      <c r="I27" s="1"/>
    </row>
    <row r="28" spans="1:9" x14ac:dyDescent="0.25">
      <c r="A28" s="1"/>
      <c r="B28" s="1"/>
      <c r="C28" s="6" t="s">
        <v>91</v>
      </c>
      <c r="D28" s="82" t="s">
        <v>34</v>
      </c>
      <c r="E28" s="83"/>
      <c r="F28" s="83"/>
      <c r="G28" s="84"/>
      <c r="H28" s="1"/>
      <c r="I28" s="1"/>
    </row>
    <row r="29" spans="1:9" x14ac:dyDescent="0.25">
      <c r="A29" s="1"/>
      <c r="B29" s="1"/>
      <c r="C29" s="6" t="s">
        <v>218</v>
      </c>
      <c r="D29" s="85" t="s">
        <v>92</v>
      </c>
      <c r="E29" s="86"/>
      <c r="F29" s="86"/>
      <c r="G29" s="8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3" t="s">
        <v>181</v>
      </c>
      <c r="C8" s="124"/>
      <c r="D8" s="125"/>
      <c r="E8" s="1"/>
      <c r="F8" s="1"/>
    </row>
    <row r="9" spans="1:6" ht="15" customHeight="1" x14ac:dyDescent="0.25">
      <c r="A9" s="1"/>
      <c r="B9" s="33" t="s">
        <v>30</v>
      </c>
      <c r="C9" s="11" t="s">
        <v>212</v>
      </c>
      <c r="D9" s="11"/>
      <c r="E9" s="1"/>
      <c r="F9" s="1"/>
    </row>
    <row r="10" spans="1:6" x14ac:dyDescent="0.25">
      <c r="A10" s="1"/>
      <c r="B10" s="79" t="s">
        <v>231</v>
      </c>
      <c r="C10" s="9">
        <v>7335007</v>
      </c>
      <c r="D10" s="14" t="s">
        <v>3</v>
      </c>
      <c r="E10" s="1"/>
      <c r="F10" s="1"/>
    </row>
    <row r="11" spans="1:6" x14ac:dyDescent="0.25">
      <c r="A11" s="1"/>
      <c r="B11" s="79" t="s">
        <v>232</v>
      </c>
      <c r="C11" s="9">
        <v>79340</v>
      </c>
      <c r="D11" s="14" t="s">
        <v>3</v>
      </c>
      <c r="E11" s="1"/>
      <c r="F11" s="1"/>
    </row>
    <row r="12" spans="1:6" x14ac:dyDescent="0.25">
      <c r="A12" s="1"/>
      <c r="B12" s="79" t="s">
        <v>233</v>
      </c>
      <c r="C12" s="9">
        <v>43701</v>
      </c>
      <c r="D12" s="14" t="s">
        <v>3</v>
      </c>
      <c r="E12" s="1"/>
      <c r="F12" s="1"/>
    </row>
    <row r="13" spans="1:6" x14ac:dyDescent="0.25">
      <c r="A13" s="1"/>
      <c r="B13" s="79" t="s">
        <v>234</v>
      </c>
      <c r="C13" s="9">
        <v>13111</v>
      </c>
      <c r="D13" s="14" t="s">
        <v>3</v>
      </c>
      <c r="E13" s="1"/>
      <c r="F13" s="1"/>
    </row>
    <row r="14" spans="1:6" x14ac:dyDescent="0.25">
      <c r="A14" s="1"/>
      <c r="B14" s="79" t="s">
        <v>235</v>
      </c>
      <c r="C14" s="9">
        <v>1137952.5</v>
      </c>
      <c r="D14" s="14" t="s">
        <v>3</v>
      </c>
      <c r="E14" s="1"/>
      <c r="F14" s="1"/>
    </row>
    <row r="15" spans="1:6" x14ac:dyDescent="0.25">
      <c r="A15" s="1"/>
      <c r="B15" s="67" t="s">
        <v>182</v>
      </c>
      <c r="C15" s="12">
        <f>SUM(C10:C14)</f>
        <v>8609111.5</v>
      </c>
      <c r="D15" s="13" t="s">
        <v>3</v>
      </c>
      <c r="E15" s="1"/>
      <c r="F15" s="1"/>
    </row>
    <row r="16" spans="1:6" x14ac:dyDescent="0.25">
      <c r="A16" s="1"/>
      <c r="B16" s="67" t="s">
        <v>183</v>
      </c>
      <c r="C16" s="12">
        <f>C15*(1+'Fane 13. Nøgletal'!C15)^2</f>
        <v>9232991.0823506415</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8" t="s">
        <v>184</v>
      </c>
      <c r="C3" s="108"/>
      <c r="D3" s="108"/>
      <c r="E3" s="108"/>
      <c r="F3" s="108"/>
      <c r="G3" s="1"/>
    </row>
    <row r="4" spans="1:7" ht="15" customHeight="1" x14ac:dyDescent="0.25">
      <c r="A4" s="1"/>
      <c r="B4" s="108"/>
      <c r="C4" s="108"/>
      <c r="D4" s="108"/>
      <c r="E4" s="108"/>
      <c r="F4" s="108"/>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3" t="s">
        <v>155</v>
      </c>
      <c r="C8" s="124"/>
      <c r="D8" s="124"/>
      <c r="E8" s="124"/>
      <c r="F8" s="125"/>
      <c r="G8" s="1"/>
    </row>
    <row r="9" spans="1:7" x14ac:dyDescent="0.25">
      <c r="A9" s="1"/>
      <c r="B9" s="126" t="s">
        <v>156</v>
      </c>
      <c r="C9" s="127"/>
      <c r="D9" s="128"/>
      <c r="E9" s="9">
        <v>-872371</v>
      </c>
      <c r="F9" s="14" t="s">
        <v>3</v>
      </c>
      <c r="G9" s="1"/>
    </row>
    <row r="10" spans="1:7" x14ac:dyDescent="0.25">
      <c r="A10" s="1"/>
      <c r="B10" s="141" t="s">
        <v>236</v>
      </c>
      <c r="C10" s="142"/>
      <c r="D10" s="143"/>
      <c r="E10" s="9">
        <v>-872371</v>
      </c>
      <c r="F10" s="54" t="s">
        <v>3</v>
      </c>
      <c r="G10" s="1"/>
    </row>
    <row r="11" spans="1:7" x14ac:dyDescent="0.25">
      <c r="A11" s="1"/>
      <c r="B11" s="126" t="s">
        <v>185</v>
      </c>
      <c r="C11" s="127"/>
      <c r="D11" s="128"/>
      <c r="E11" s="9">
        <v>-417909.10922531411</v>
      </c>
      <c r="F11" s="14" t="s">
        <v>3</v>
      </c>
      <c r="G11" s="1"/>
    </row>
    <row r="12" spans="1:7" x14ac:dyDescent="0.25">
      <c r="A12" s="1"/>
      <c r="B12" s="67"/>
      <c r="C12" s="68"/>
      <c r="D12" s="68"/>
      <c r="E12" s="68"/>
      <c r="F12" s="19"/>
      <c r="G12" s="1"/>
    </row>
    <row r="13" spans="1:7" ht="64.900000000000006" customHeight="1" x14ac:dyDescent="0.25">
      <c r="A13" s="1"/>
      <c r="B13" s="112" t="s">
        <v>252</v>
      </c>
      <c r="C13" s="113"/>
      <c r="D13" s="113"/>
      <c r="E13" s="113"/>
      <c r="F13" s="114"/>
      <c r="G13" s="1"/>
    </row>
    <row r="14" spans="1:7" ht="27" customHeight="1" x14ac:dyDescent="0.25">
      <c r="A14" s="1"/>
      <c r="B14" s="1"/>
      <c r="C14" s="1"/>
      <c r="D14" s="1"/>
      <c r="E14" s="1"/>
      <c r="F14" s="1"/>
      <c r="G14" s="1"/>
    </row>
    <row r="15" spans="1:7" ht="28.5" customHeight="1" x14ac:dyDescent="0.25">
      <c r="A15" s="1"/>
      <c r="B15" s="123" t="s">
        <v>157</v>
      </c>
      <c r="C15" s="124"/>
      <c r="D15" s="124"/>
      <c r="E15" s="124"/>
      <c r="F15" s="125"/>
      <c r="G15" s="1"/>
    </row>
    <row r="16" spans="1:7" x14ac:dyDescent="0.25">
      <c r="A16" s="1"/>
      <c r="B16" s="126" t="s">
        <v>237</v>
      </c>
      <c r="C16" s="127"/>
      <c r="D16" s="128"/>
      <c r="E16" s="9">
        <f>-104477.277306329*2</f>
        <v>-208954.55461265799</v>
      </c>
      <c r="F16" s="14" t="s">
        <v>3</v>
      </c>
      <c r="G16" s="1"/>
    </row>
    <row r="17" spans="1:7" x14ac:dyDescent="0.25">
      <c r="A17" s="1"/>
      <c r="B17" s="126" t="s">
        <v>238</v>
      </c>
      <c r="C17" s="127"/>
      <c r="D17" s="128"/>
      <c r="E17" s="9">
        <f>-104477.277306329*2</f>
        <v>-208954.55461265799</v>
      </c>
      <c r="F17" s="14" t="s">
        <v>3</v>
      </c>
      <c r="G17" s="1"/>
    </row>
    <row r="18" spans="1:7" x14ac:dyDescent="0.25">
      <c r="A18" s="1"/>
      <c r="B18" s="67"/>
      <c r="C18" s="68"/>
      <c r="D18" s="68"/>
      <c r="E18" s="68"/>
      <c r="F18" s="19"/>
      <c r="G18" s="1"/>
    </row>
    <row r="19" spans="1:7" ht="31.5" customHeight="1" x14ac:dyDescent="0.25">
      <c r="A19" s="1"/>
      <c r="B19" s="112" t="s">
        <v>158</v>
      </c>
      <c r="C19" s="113"/>
      <c r="D19" s="113"/>
      <c r="E19" s="113"/>
      <c r="F19" s="11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239</v>
      </c>
      <c r="C22" s="77"/>
      <c r="D22" s="78"/>
      <c r="E22" s="9">
        <v>20958200.73709508</v>
      </c>
      <c r="F22" s="14" t="s">
        <v>3</v>
      </c>
      <c r="G22" s="1"/>
    </row>
    <row r="23" spans="1:7" x14ac:dyDescent="0.25">
      <c r="A23" s="1"/>
      <c r="B23" s="76" t="s">
        <v>187</v>
      </c>
      <c r="C23" s="77"/>
      <c r="D23" s="78"/>
      <c r="E23" s="9">
        <v>22003193</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-1044992.2629049197</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3" t="s">
        <v>240</v>
      </c>
      <c r="C28" s="124"/>
      <c r="D28" s="124"/>
      <c r="E28" s="124"/>
      <c r="F28" s="125"/>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-1462901.3721302357</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-731450.68606511783</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DySqmGWP/GOZDUDKXQVgpU1RSxhPNeoDmFxDcOMgTSiNnWocmqeMOdupXW6cnDG3XFasDdYdJ76RRWqXM2ydCg==" saltValue="6CTk+T+XdvpvtVnGsU7ss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3" t="s">
        <v>227</v>
      </c>
      <c r="C8" s="124"/>
      <c r="D8" s="124"/>
      <c r="E8" s="124"/>
      <c r="F8" s="124"/>
      <c r="G8" s="124"/>
      <c r="H8" s="125"/>
      <c r="I8" s="1"/>
    </row>
    <row r="9" spans="1:9" ht="15" customHeight="1" x14ac:dyDescent="0.25">
      <c r="A9" s="1"/>
      <c r="B9" s="118" t="s">
        <v>228</v>
      </c>
      <c r="C9" s="119"/>
      <c r="D9" s="119"/>
      <c r="E9" s="119"/>
      <c r="F9" s="119"/>
      <c r="G9" s="119"/>
      <c r="H9" s="120"/>
      <c r="I9" s="1"/>
    </row>
    <row r="10" spans="1:9" x14ac:dyDescent="0.25">
      <c r="A10" s="1"/>
      <c r="B10" s="147" t="s">
        <v>243</v>
      </c>
      <c r="C10" s="148"/>
      <c r="D10" s="148"/>
      <c r="E10" s="148"/>
      <c r="F10" s="149"/>
      <c r="G10" s="56">
        <v>0</v>
      </c>
      <c r="H10" s="9" t="s">
        <v>3</v>
      </c>
      <c r="I10" s="1"/>
    </row>
    <row r="11" spans="1:9" x14ac:dyDescent="0.25">
      <c r="A11" s="1"/>
      <c r="B11" s="147" t="s">
        <v>244</v>
      </c>
      <c r="C11" s="148"/>
      <c r="D11" s="148"/>
      <c r="E11" s="148"/>
      <c r="F11" s="149"/>
      <c r="G11" s="56">
        <v>0</v>
      </c>
      <c r="H11" s="9" t="s">
        <v>3</v>
      </c>
      <c r="I11" s="1"/>
    </row>
    <row r="12" spans="1:9" x14ac:dyDescent="0.25">
      <c r="A12" s="1"/>
      <c r="B12" s="147" t="s">
        <v>245</v>
      </c>
      <c r="C12" s="148"/>
      <c r="D12" s="148"/>
      <c r="E12" s="148"/>
      <c r="F12" s="149"/>
      <c r="G12" s="9">
        <v>0</v>
      </c>
      <c r="H12" s="9" t="s">
        <v>3</v>
      </c>
      <c r="I12" s="1"/>
    </row>
    <row r="13" spans="1:9" x14ac:dyDescent="0.25">
      <c r="A13" s="1"/>
      <c r="B13" s="147" t="s">
        <v>246</v>
      </c>
      <c r="C13" s="148"/>
      <c r="D13" s="148"/>
      <c r="E13" s="148"/>
      <c r="F13" s="149"/>
      <c r="G13" s="9">
        <v>0</v>
      </c>
      <c r="H13" s="9" t="s">
        <v>3</v>
      </c>
      <c r="I13" s="1"/>
    </row>
    <row r="14" spans="1:9" x14ac:dyDescent="0.25">
      <c r="A14" s="1"/>
      <c r="B14" s="147" t="s">
        <v>247</v>
      </c>
      <c r="C14" s="148"/>
      <c r="D14" s="148"/>
      <c r="E14" s="148"/>
      <c r="F14" s="149"/>
      <c r="G14" s="9">
        <v>0</v>
      </c>
      <c r="H14" s="9" t="s">
        <v>3</v>
      </c>
      <c r="I14" s="1"/>
    </row>
    <row r="15" spans="1:9" x14ac:dyDescent="0.25">
      <c r="A15" s="1"/>
      <c r="B15" s="147" t="s">
        <v>248</v>
      </c>
      <c r="C15" s="148"/>
      <c r="D15" s="148"/>
      <c r="E15" s="148"/>
      <c r="F15" s="149"/>
      <c r="G15" s="9">
        <v>0</v>
      </c>
      <c r="H15" s="9" t="s">
        <v>3</v>
      </c>
      <c r="I15" s="1"/>
    </row>
    <row r="16" spans="1:9" x14ac:dyDescent="0.25">
      <c r="A16" s="1"/>
      <c r="B16" s="147" t="s">
        <v>249</v>
      </c>
      <c r="C16" s="148"/>
      <c r="D16" s="148"/>
      <c r="E16" s="148"/>
      <c r="F16" s="149"/>
      <c r="G16" s="9">
        <v>0</v>
      </c>
      <c r="H16" s="9" t="s">
        <v>3</v>
      </c>
      <c r="I16" s="1"/>
    </row>
    <row r="17" spans="1:9" x14ac:dyDescent="0.25">
      <c r="A17" s="1"/>
      <c r="B17" s="147" t="s">
        <v>250</v>
      </c>
      <c r="C17" s="148"/>
      <c r="D17" s="148"/>
      <c r="E17" s="148"/>
      <c r="F17" s="149"/>
      <c r="G17" s="9">
        <v>0</v>
      </c>
      <c r="H17" s="9" t="s">
        <v>3</v>
      </c>
      <c r="I17" s="1"/>
    </row>
    <row r="18" spans="1:9" x14ac:dyDescent="0.25">
      <c r="A18" s="1"/>
      <c r="B18" s="123" t="s">
        <v>229</v>
      </c>
      <c r="C18" s="124"/>
      <c r="D18" s="124"/>
      <c r="E18" s="124"/>
      <c r="F18" s="12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LD9FZdZDGjn2E9lWj3iML3bw+S0i15+YVKIDVOsH33kXVn4oqZDxaZJsay6VhnKK3KpMgmfaJ4orKp9liHm8kA==" saltValue="vFxXLngpsQ/1f+aTXaTAJ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3" t="s">
        <v>192</v>
      </c>
      <c r="C8" s="124"/>
      <c r="D8" s="124"/>
      <c r="E8" s="124"/>
      <c r="F8" s="124"/>
      <c r="G8" s="124"/>
      <c r="H8" s="124"/>
      <c r="I8" s="124"/>
      <c r="J8" s="124"/>
      <c r="K8" s="125"/>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81" t="s">
        <v>255</v>
      </c>
      <c r="C11" s="21">
        <v>0</v>
      </c>
      <c r="D11" s="14" t="s">
        <v>3</v>
      </c>
      <c r="E11" s="9">
        <v>686350</v>
      </c>
      <c r="F11" s="14" t="s">
        <v>3</v>
      </c>
      <c r="G11" s="1"/>
    </row>
    <row r="12" spans="1:7" x14ac:dyDescent="0.25">
      <c r="A12" s="1"/>
      <c r="B12" s="26" t="s">
        <v>251</v>
      </c>
      <c r="C12" s="21">
        <v>148597</v>
      </c>
      <c r="D12" s="14" t="s">
        <v>3</v>
      </c>
      <c r="E12" s="9">
        <f>9783+15041</f>
        <v>24824</v>
      </c>
      <c r="F12" s="14" t="s">
        <v>3</v>
      </c>
      <c r="G12" s="1"/>
    </row>
    <row r="13" spans="1:7" x14ac:dyDescent="0.25">
      <c r="A13" s="1"/>
      <c r="B13" s="67" t="s">
        <v>148</v>
      </c>
      <c r="C13" s="12">
        <f>SUM(C10:C12)</f>
        <v>148597</v>
      </c>
      <c r="D13" s="13" t="s">
        <v>3</v>
      </c>
      <c r="E13" s="12">
        <f>SUM(E10:E12)</f>
        <v>711174</v>
      </c>
      <c r="F13" s="13" t="s">
        <v>3</v>
      </c>
      <c r="G13" s="1"/>
    </row>
    <row r="14" spans="1:7" x14ac:dyDescent="0.25">
      <c r="A14" s="1"/>
      <c r="B14" s="67" t="s">
        <v>188</v>
      </c>
      <c r="C14" s="12">
        <f>C13*(1+'Fane 13. Nøgletal'!C15)</f>
        <v>153887.05320000002</v>
      </c>
      <c r="D14" s="13" t="s">
        <v>3</v>
      </c>
      <c r="E14" s="12">
        <f>E13*(1+'Fane 13. Nøgletal'!C15)</f>
        <v>736491.79440000001</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PS2TVuERI2sfTmI9yAwf+YbHxu4Gg61TcKT+kNqW5OYwkLDjgfuToUX2mBX/RDHKPyPUJUYTyE0QeXsBG3Dug==" saltValue="ugtItjmnbpe3JvFba36ac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3" t="s">
        <v>88</v>
      </c>
      <c r="C9" s="124"/>
      <c r="D9" s="124"/>
      <c r="E9" s="124"/>
      <c r="F9" s="125"/>
      <c r="G9" s="1"/>
    </row>
    <row r="10" spans="1:7" ht="26.25" x14ac:dyDescent="0.25">
      <c r="A10" s="1"/>
      <c r="B10" s="65" t="s">
        <v>15</v>
      </c>
      <c r="C10" s="65" t="s">
        <v>10</v>
      </c>
      <c r="D10" s="66"/>
      <c r="E10" s="65" t="s">
        <v>29</v>
      </c>
      <c r="F10" s="70"/>
      <c r="G10" s="1"/>
    </row>
    <row r="11" spans="1:7" x14ac:dyDescent="0.25">
      <c r="A11" s="1"/>
      <c r="B11" s="22" t="s">
        <v>254</v>
      </c>
      <c r="C11" s="21">
        <v>99814</v>
      </c>
      <c r="D11" s="14" t="s">
        <v>3</v>
      </c>
      <c r="E11" s="9">
        <v>0</v>
      </c>
      <c r="F11" s="14" t="s">
        <v>3</v>
      </c>
      <c r="G11" s="1"/>
    </row>
    <row r="12" spans="1:7" x14ac:dyDescent="0.25">
      <c r="A12" s="1"/>
      <c r="B12" s="67" t="s">
        <v>195</v>
      </c>
      <c r="C12" s="12">
        <f>SUM(C11:C11)</f>
        <v>99814</v>
      </c>
      <c r="D12" s="13" t="s">
        <v>3</v>
      </c>
      <c r="E12" s="12">
        <f>SUM(E11:E11)</f>
        <v>0</v>
      </c>
      <c r="F12" s="13" t="s">
        <v>3</v>
      </c>
      <c r="G12" s="1"/>
    </row>
    <row r="13" spans="1:7" x14ac:dyDescent="0.25">
      <c r="A13" s="1"/>
      <c r="B13" s="67" t="s">
        <v>119</v>
      </c>
      <c r="C13" s="12">
        <f>C12*(1+'Fane 13. Nøgletal'!$C$15)^2</f>
        <v>107047.25707104</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hqZbH5SZ+fm3BqLss2wjsZky8hww8HFZEE5v7zT0Jw3yH0boK5VdggP4Ao+YLZ/+qIVLVsbTdVNtBClt/0JIQ==" saltValue="RM3mS4DAzjb7g5CbaJFbk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223</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3" t="s">
        <v>112</v>
      </c>
      <c r="C8" s="124"/>
      <c r="D8" s="124"/>
      <c r="E8" s="124"/>
      <c r="F8" s="125"/>
      <c r="G8" s="1"/>
    </row>
    <row r="9" spans="1:7" ht="15" customHeight="1" x14ac:dyDescent="0.25">
      <c r="A9" s="1"/>
      <c r="B9" s="69" t="s">
        <v>113</v>
      </c>
      <c r="C9" s="118" t="s">
        <v>10</v>
      </c>
      <c r="D9" s="120"/>
      <c r="E9" s="118" t="s">
        <v>29</v>
      </c>
      <c r="F9" s="120"/>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224</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3" t="s">
        <v>85</v>
      </c>
      <c r="C10" s="124"/>
      <c r="D10" s="124"/>
      <c r="E10" s="124"/>
      <c r="F10" s="125"/>
      <c r="G10" s="1"/>
    </row>
    <row r="11" spans="1:7" ht="26.25" x14ac:dyDescent="0.25">
      <c r="A11" s="1"/>
      <c r="B11" s="69" t="s">
        <v>16</v>
      </c>
      <c r="C11" s="69" t="s">
        <v>10</v>
      </c>
      <c r="D11" s="70"/>
      <c r="E11" s="69" t="s">
        <v>29</v>
      </c>
      <c r="F11" s="70"/>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08" t="s">
        <v>225</v>
      </c>
      <c r="C3" s="108"/>
      <c r="D3" s="1"/>
    </row>
    <row r="4" spans="1:4" ht="25.5" customHeight="1" x14ac:dyDescent="0.25">
      <c r="A4" s="1"/>
      <c r="B4" s="108"/>
      <c r="C4" s="108"/>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3"/>
      <c r="C16" s="125"/>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13919614.106293796</v>
      </c>
      <c r="D8" s="8" t="s">
        <v>3</v>
      </c>
      <c r="E8" s="1"/>
    </row>
    <row r="9" spans="1:5" ht="17.25" customHeight="1" x14ac:dyDescent="0.25">
      <c r="A9" s="1"/>
      <c r="B9" s="23" t="s">
        <v>35</v>
      </c>
      <c r="C9" s="7">
        <f>'Fane 10.1. Varige tillæg'!C14</f>
        <v>153887.05320000002</v>
      </c>
      <c r="D9" s="8" t="s">
        <v>3</v>
      </c>
      <c r="E9" s="1"/>
    </row>
    <row r="10" spans="1:5" ht="17.25" customHeight="1" x14ac:dyDescent="0.25">
      <c r="A10" s="1"/>
      <c r="B10" s="23" t="s">
        <v>36</v>
      </c>
      <c r="C10" s="9">
        <f>'Fane 10.1. Varige tillæg'!E14</f>
        <v>736491.79440000001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527235.74915861909</v>
      </c>
      <c r="D15" s="8" t="s">
        <v>3</v>
      </c>
      <c r="E15" s="1"/>
    </row>
    <row r="16" spans="1:5" ht="17.25" customHeight="1" x14ac:dyDescent="0.25">
      <c r="A16" s="1"/>
      <c r="B16" s="23" t="s">
        <v>9</v>
      </c>
      <c r="C16" s="9">
        <f>-SUM(C8,C9:C15)*'Fane 5. Individuelt eff. krav'!G9</f>
        <v>-179246.81887645184</v>
      </c>
      <c r="D16" s="8" t="s">
        <v>3</v>
      </c>
      <c r="E16" s="1"/>
    </row>
    <row r="17" spans="1:5" ht="17.25" customHeight="1" x14ac:dyDescent="0.25">
      <c r="A17" s="1"/>
      <c r="B17" s="23" t="s">
        <v>23</v>
      </c>
      <c r="C17" s="9">
        <f>-'Fane 4.1. Gen. krav - drift'!G43</f>
        <v>-155124.8083804996</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15002857.075795462</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omk.'!C16</f>
        <v>9232991.0823506415</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107047.25707104</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-3392.0108111669206</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103655.24625987308</v>
      </c>
      <c r="D27" s="11" t="s">
        <v>3</v>
      </c>
      <c r="E27" s="1"/>
    </row>
    <row r="28" spans="1:5" ht="15" customHeight="1" x14ac:dyDescent="0.25">
      <c r="A28" s="1"/>
      <c r="B28" s="25" t="s">
        <v>128</v>
      </c>
      <c r="C28" s="68"/>
      <c r="D28" s="19"/>
      <c r="E28" s="1"/>
    </row>
    <row r="29" spans="1:5" x14ac:dyDescent="0.25">
      <c r="A29" s="1"/>
      <c r="B29" s="80" t="s">
        <v>129</v>
      </c>
      <c r="C29" s="10">
        <f>'Fane 7. Kontrol af ØR2021'!E31</f>
        <v>-731450.68606511783</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23608052.718340859</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Pf5ne1fGRgGQAp+Awyuld2wGDnUzac+XWt3n/sFYCNIjLWYtsNiJE50ujKEVKWrh/vHDTZ1G9APk1M5bCrf5A==" saltValue="4+W7oEy6QkJo/YCT7iBW+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15002857.075795462</v>
      </c>
      <c r="D8" s="8" t="s">
        <v>3</v>
      </c>
      <c r="E8" s="1"/>
    </row>
    <row r="9" spans="1:5" ht="15" customHeight="1" x14ac:dyDescent="0.25">
      <c r="A9" s="1"/>
      <c r="B9" s="64" t="s">
        <v>17</v>
      </c>
      <c r="C9" s="9">
        <f>SUM(C8:C8)*'Fane 13. Nøgletal'!C15</f>
        <v>534101.71189831849</v>
      </c>
      <c r="D9" s="8" t="s">
        <v>3</v>
      </c>
      <c r="E9" s="1"/>
    </row>
    <row r="10" spans="1:5" ht="15" customHeight="1" x14ac:dyDescent="0.25">
      <c r="A10" s="1"/>
      <c r="B10" s="64" t="s">
        <v>9</v>
      </c>
      <c r="C10" s="9">
        <f>-SUM(C8:C9)*'Fane 5. Individuelt eff. krav'!G9</f>
        <v>-181581.07254111578</v>
      </c>
      <c r="D10" s="8" t="s">
        <v>3</v>
      </c>
      <c r="E10" s="1"/>
    </row>
    <row r="11" spans="1:5" ht="15" customHeight="1" x14ac:dyDescent="0.25">
      <c r="A11" s="1"/>
      <c r="B11" s="64" t="s">
        <v>23</v>
      </c>
      <c r="C11" s="9">
        <f>-'Fane 4.1. Gen. krav - drift'!G48</f>
        <v>-157434.30652766849</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15197943.408624995</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f>
        <v>9561685.564882325</v>
      </c>
      <c r="D15" s="11" t="s">
        <v>3</v>
      </c>
      <c r="E15" s="1"/>
    </row>
    <row r="16" spans="1:5" x14ac:dyDescent="0.25">
      <c r="A16" s="1"/>
      <c r="B16" s="25" t="s">
        <v>128</v>
      </c>
      <c r="C16" s="68"/>
      <c r="D16" s="19"/>
      <c r="E16" s="1"/>
    </row>
    <row r="17" spans="1:5" ht="15" customHeight="1" x14ac:dyDescent="0.25">
      <c r="A17" s="1"/>
      <c r="B17" s="80" t="s">
        <v>129</v>
      </c>
      <c r="C17" s="10">
        <f>'Fane 7. Kontrol af ØR2021'!E31</f>
        <v>-731450.68606511783</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24028178.287442204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3J4q3MjO7p2uVTo6JE0qdTNqR7Bu8ud6+bXpEgxxitpe1qupp0AT+2Um+iUmNV1K1CZwnKkCuheyFFLbBLTkg==" saltValue="D5KKgNQnB00mWyzb0M1gd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15197943.408624995</v>
      </c>
      <c r="D8" s="8" t="s">
        <v>3</v>
      </c>
      <c r="E8" s="1"/>
    </row>
    <row r="9" spans="1:5" ht="15" customHeight="1" x14ac:dyDescent="0.25">
      <c r="A9" s="1"/>
      <c r="B9" s="64" t="s">
        <v>17</v>
      </c>
      <c r="C9" s="9">
        <f>SUM(C8:C8)*'Fane 13. Nøgletal'!C15</f>
        <v>541046.78534704982</v>
      </c>
      <c r="D9" s="8" t="s">
        <v>3</v>
      </c>
      <c r="E9" s="1"/>
    </row>
    <row r="10" spans="1:5" ht="15" customHeight="1" x14ac:dyDescent="0.25">
      <c r="A10" s="1"/>
      <c r="B10" s="64" t="s">
        <v>9</v>
      </c>
      <c r="C10" s="9">
        <f>-SUM(C8:C9)*'Fane 5. Individuelt eff. krav'!G9</f>
        <v>-183942.2218458339</v>
      </c>
      <c r="D10" s="8" t="s">
        <v>3</v>
      </c>
      <c r="E10" s="1"/>
    </row>
    <row r="11" spans="1:5" ht="15" customHeight="1" x14ac:dyDescent="0.25">
      <c r="A11" s="1"/>
      <c r="B11" s="64" t="s">
        <v>23</v>
      </c>
      <c r="C11" s="9">
        <f>-'Fane 4.1. Gen. krav - drift'!G53</f>
        <v>-159778.18848325242</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15395269.783642959</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Nøgletal'!C15)^2</f>
        <v>9902081.5709921364</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25297351.354635097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2VVptKaa0cWXWV6BZy79PsK9zccXMrwimI1oLOruxQsQ//lonTkWrksETnYMNX3AWsbiaZKDnGLwh7o7/QMSQ==" saltValue="ws+GVYxXGM/01LlavXkv/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15395269.783642959</v>
      </c>
      <c r="D8" s="8" t="s">
        <v>3</v>
      </c>
      <c r="E8" s="1"/>
    </row>
    <row r="9" spans="1:5" ht="15" customHeight="1" x14ac:dyDescent="0.25">
      <c r="A9" s="1"/>
      <c r="B9" s="64" t="s">
        <v>17</v>
      </c>
      <c r="C9" s="9">
        <f>SUM(C8:C8)*'Fane 13. Nøgletal'!C15</f>
        <v>548071.60429768928</v>
      </c>
      <c r="D9" s="8" t="s">
        <v>3</v>
      </c>
      <c r="E9" s="1"/>
    </row>
    <row r="10" spans="1:5" ht="15" customHeight="1" x14ac:dyDescent="0.25">
      <c r="A10" s="1"/>
      <c r="B10" s="64" t="s">
        <v>9</v>
      </c>
      <c r="C10" s="9">
        <f>-SUM(C8:C9)*'Fane 5. Individuelt eff. krav'!G9</f>
        <v>-186330.48260412767</v>
      </c>
      <c r="D10" s="8" t="s">
        <v>3</v>
      </c>
      <c r="E10" s="1"/>
    </row>
    <row r="11" spans="1:5" ht="15" customHeight="1" x14ac:dyDescent="0.25">
      <c r="A11" s="1"/>
      <c r="B11" s="64" t="s">
        <v>23</v>
      </c>
      <c r="C11" s="9">
        <f>-'Fane 4.1. Gen. krav - drift'!G58</f>
        <v>-162156.96615339111</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15594853.939183131</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Nøgletal'!C15)^3</f>
        <v>10254595.674919456</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25849449.614102587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QoSouECdhg1h6KVHHruzn6qR110OUqpZrYkCnO1GZ/NtZXJThTX+4ZpHZ5RcPCAgA7XSK3/CK3kIqq9uuvk5A==" saltValue="c+nsPrHkng6UaThYHD/l9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171</v>
      </c>
      <c r="C3" s="108"/>
      <c r="D3" s="108"/>
      <c r="E3" s="108"/>
      <c r="F3" s="108"/>
      <c r="G3" s="1"/>
    </row>
    <row r="4" spans="1:7" ht="29.2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9" t="s">
        <v>22</v>
      </c>
      <c r="C9" s="110"/>
      <c r="D9" s="111"/>
      <c r="E9" s="7">
        <v>14099384.169371797</v>
      </c>
      <c r="F9" s="8" t="s">
        <v>3</v>
      </c>
      <c r="G9" s="1"/>
    </row>
    <row r="10" spans="1:7" ht="15" customHeight="1" x14ac:dyDescent="0.25">
      <c r="A10" s="1"/>
      <c r="B10" s="102" t="s">
        <v>35</v>
      </c>
      <c r="C10" s="103"/>
      <c r="D10" s="104"/>
      <c r="E10" s="9">
        <v>121432.40890000001</v>
      </c>
      <c r="F10" s="8" t="s">
        <v>3</v>
      </c>
      <c r="G10" s="1"/>
    </row>
    <row r="11" spans="1:7" ht="15" customHeight="1" x14ac:dyDescent="0.25">
      <c r="A11" s="1"/>
      <c r="B11" s="102" t="s">
        <v>36</v>
      </c>
      <c r="C11" s="103"/>
      <c r="D11" s="104"/>
      <c r="E11" s="9">
        <v>36968.595100000006</v>
      </c>
      <c r="F11" s="8" t="s">
        <v>3</v>
      </c>
      <c r="G11" s="1"/>
    </row>
    <row r="12" spans="1:7" x14ac:dyDescent="0.25">
      <c r="A12" s="1"/>
      <c r="B12" s="102" t="s">
        <v>26</v>
      </c>
      <c r="C12" s="103"/>
      <c r="D12" s="104"/>
      <c r="E12" s="9">
        <v>0</v>
      </c>
      <c r="F12" s="8" t="s">
        <v>3</v>
      </c>
      <c r="G12" s="1"/>
    </row>
    <row r="13" spans="1:7" x14ac:dyDescent="0.25">
      <c r="A13" s="1"/>
      <c r="B13" s="102" t="s">
        <v>25</v>
      </c>
      <c r="C13" s="103"/>
      <c r="D13" s="104"/>
      <c r="E13" s="9">
        <v>0</v>
      </c>
      <c r="F13" s="8" t="s">
        <v>3</v>
      </c>
      <c r="G13" s="1"/>
    </row>
    <row r="14" spans="1:7" x14ac:dyDescent="0.25">
      <c r="A14" s="1"/>
      <c r="B14" s="102" t="s">
        <v>114</v>
      </c>
      <c r="C14" s="103"/>
      <c r="D14" s="104"/>
      <c r="E14" s="9">
        <v>0</v>
      </c>
      <c r="F14" s="8" t="s">
        <v>3</v>
      </c>
      <c r="G14" s="1"/>
    </row>
    <row r="15" spans="1:7" x14ac:dyDescent="0.25">
      <c r="A15" s="1"/>
      <c r="B15" s="102" t="s">
        <v>115</v>
      </c>
      <c r="C15" s="103"/>
      <c r="D15" s="104"/>
      <c r="E15" s="9">
        <v>0</v>
      </c>
      <c r="F15" s="8" t="s">
        <v>3</v>
      </c>
      <c r="G15" s="1"/>
    </row>
    <row r="16" spans="1:7" x14ac:dyDescent="0.25">
      <c r="A16" s="1"/>
      <c r="B16" s="102" t="s">
        <v>17</v>
      </c>
      <c r="C16" s="103"/>
      <c r="D16" s="104"/>
      <c r="E16" s="9">
        <v>172535.21017953593</v>
      </c>
      <c r="F16" s="8" t="s">
        <v>3</v>
      </c>
      <c r="G16" s="30"/>
    </row>
    <row r="17" spans="1:7" x14ac:dyDescent="0.25">
      <c r="A17" s="1"/>
      <c r="B17" s="102" t="s">
        <v>9</v>
      </c>
      <c r="C17" s="103"/>
      <c r="D17" s="104"/>
      <c r="E17" s="9">
        <v>-158277.04078083078</v>
      </c>
      <c r="F17" s="8" t="s">
        <v>3</v>
      </c>
      <c r="G17" s="1"/>
    </row>
    <row r="18" spans="1:7" x14ac:dyDescent="0.25">
      <c r="A18" s="1"/>
      <c r="B18" s="102" t="s">
        <v>23</v>
      </c>
      <c r="C18" s="103"/>
      <c r="D18" s="104"/>
      <c r="E18" s="9">
        <v>-149708.63753894146</v>
      </c>
      <c r="F18" s="8" t="s">
        <v>3</v>
      </c>
      <c r="G18" s="1"/>
    </row>
    <row r="19" spans="1:7" x14ac:dyDescent="0.25">
      <c r="A19" s="1"/>
      <c r="B19" s="102" t="s">
        <v>24</v>
      </c>
      <c r="C19" s="103"/>
      <c r="D19" s="104"/>
      <c r="E19" s="9">
        <v>-202720.59893776564</v>
      </c>
      <c r="F19" s="8" t="s">
        <v>3</v>
      </c>
      <c r="G19" s="1"/>
    </row>
    <row r="20" spans="1:7" x14ac:dyDescent="0.25">
      <c r="A20" s="1"/>
      <c r="B20" s="115" t="s">
        <v>19</v>
      </c>
      <c r="C20" s="116"/>
      <c r="D20" s="117"/>
      <c r="E20" s="31">
        <f>SUM(E9:E19)</f>
        <v>13919614.106293796</v>
      </c>
      <c r="F20" s="34" t="s">
        <v>3</v>
      </c>
      <c r="G20" s="1"/>
    </row>
    <row r="21" spans="1:7" x14ac:dyDescent="0.25">
      <c r="A21" s="1"/>
      <c r="B21" s="67" t="s">
        <v>11</v>
      </c>
      <c r="C21" s="68"/>
      <c r="D21" s="68"/>
      <c r="E21" s="68"/>
      <c r="F21" s="19"/>
      <c r="G21" s="1"/>
    </row>
    <row r="22" spans="1:7" x14ac:dyDescent="0.25">
      <c r="A22" s="1"/>
      <c r="B22" s="105" t="s">
        <v>11</v>
      </c>
      <c r="C22" s="106"/>
      <c r="D22" s="107"/>
      <c r="E22" s="10">
        <v>6671368.0304630613</v>
      </c>
      <c r="F22" s="11" t="s">
        <v>3</v>
      </c>
      <c r="G22" s="1"/>
    </row>
    <row r="23" spans="1:7" ht="15" customHeight="1" x14ac:dyDescent="0.25">
      <c r="A23" s="1"/>
      <c r="B23" s="121" t="s">
        <v>80</v>
      </c>
      <c r="C23" s="122"/>
      <c r="D23" s="122"/>
      <c r="E23" s="68"/>
      <c r="F23" s="68"/>
      <c r="G23" s="1"/>
    </row>
    <row r="24" spans="1:7" ht="14.25" customHeight="1" x14ac:dyDescent="0.25">
      <c r="A24" s="1"/>
      <c r="B24" s="112" t="s">
        <v>76</v>
      </c>
      <c r="C24" s="113"/>
      <c r="D24" s="114"/>
      <c r="E24" s="9">
        <v>199187.32408669387</v>
      </c>
      <c r="F24" s="8" t="s">
        <v>3</v>
      </c>
      <c r="G24" s="1"/>
    </row>
    <row r="25" spans="1:7" ht="14.25" customHeight="1" x14ac:dyDescent="0.25">
      <c r="A25" s="1"/>
      <c r="B25" s="112" t="s">
        <v>77</v>
      </c>
      <c r="C25" s="113"/>
      <c r="D25" s="114"/>
      <c r="E25" s="9">
        <v>0</v>
      </c>
      <c r="F25" s="8" t="s">
        <v>3</v>
      </c>
      <c r="G25" s="1"/>
    </row>
    <row r="26" spans="1:7" x14ac:dyDescent="0.25">
      <c r="A26" s="1"/>
      <c r="B26" s="118" t="s">
        <v>81</v>
      </c>
      <c r="C26" s="119"/>
      <c r="D26" s="119"/>
      <c r="E26" s="10">
        <v>199187.32408669387</v>
      </c>
      <c r="F26" s="11" t="s">
        <v>3</v>
      </c>
      <c r="G26" s="1"/>
    </row>
    <row r="27" spans="1:7" x14ac:dyDescent="0.25">
      <c r="A27" s="1"/>
      <c r="B27" s="67" t="s">
        <v>128</v>
      </c>
      <c r="C27" s="68"/>
      <c r="D27" s="68"/>
      <c r="E27" s="68"/>
      <c r="F27" s="19"/>
      <c r="G27" s="1"/>
    </row>
    <row r="28" spans="1:7" ht="15" customHeight="1" x14ac:dyDescent="0.25">
      <c r="A28" s="1"/>
      <c r="B28" s="118" t="s">
        <v>129</v>
      </c>
      <c r="C28" s="119"/>
      <c r="D28" s="120"/>
      <c r="E28" s="10">
        <v>-712100.40459163487</v>
      </c>
      <c r="F28" s="11" t="s">
        <v>3</v>
      </c>
      <c r="G28" s="1"/>
    </row>
    <row r="29" spans="1:7" x14ac:dyDescent="0.25">
      <c r="A29" s="1"/>
      <c r="B29" s="67" t="s">
        <v>159</v>
      </c>
      <c r="C29" s="68"/>
      <c r="D29" s="68"/>
      <c r="E29" s="68"/>
      <c r="F29" s="19"/>
      <c r="G29" s="1"/>
    </row>
    <row r="30" spans="1:7" ht="15.75" customHeight="1" x14ac:dyDescent="0.25">
      <c r="A30" s="1"/>
      <c r="B30" s="105" t="s">
        <v>160</v>
      </c>
      <c r="C30" s="106"/>
      <c r="D30" s="107"/>
      <c r="E30" s="10">
        <v>0</v>
      </c>
      <c r="F30" s="11" t="s">
        <v>3</v>
      </c>
      <c r="G30" s="1"/>
    </row>
    <row r="31" spans="1:7" ht="15.75" customHeight="1" x14ac:dyDescent="0.25">
      <c r="A31" s="1"/>
      <c r="B31" s="123" t="s">
        <v>153</v>
      </c>
      <c r="C31" s="124"/>
      <c r="D31" s="124"/>
      <c r="E31" s="124"/>
      <c r="F31" s="125"/>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20078069.056251913</v>
      </c>
      <c r="F33" s="37" t="s">
        <v>3</v>
      </c>
      <c r="G33" s="1"/>
    </row>
    <row r="34" spans="1:7" ht="27.75" customHeight="1" x14ac:dyDescent="0.25">
      <c r="A34" s="1"/>
      <c r="B34" s="112" t="s">
        <v>173</v>
      </c>
      <c r="C34" s="113"/>
      <c r="D34" s="113"/>
      <c r="E34" s="113"/>
      <c r="F34" s="11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zN5V0hNfz6FECKJk/tvyciN5XbGqgeNNl36FzUm72bZuOsNRoKXepGz8y9pc9OeLjKcp6hQPLoB9J7t8m5NYw==" saltValue="O7zPqwtHPoyMRtO3Qm+j1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08" t="s">
        <v>98</v>
      </c>
      <c r="C1" s="108"/>
      <c r="D1" s="108"/>
      <c r="E1" s="108"/>
      <c r="F1" s="108"/>
      <c r="G1" s="108"/>
      <c r="H1" s="108"/>
      <c r="I1" s="1"/>
    </row>
    <row r="2" spans="1:9" ht="15" customHeight="1" x14ac:dyDescent="0.25">
      <c r="A2" s="1"/>
      <c r="B2" s="108"/>
      <c r="C2" s="108"/>
      <c r="D2" s="108"/>
      <c r="E2" s="108"/>
      <c r="F2" s="108"/>
      <c r="G2" s="108"/>
      <c r="H2" s="108"/>
      <c r="I2" s="1"/>
    </row>
    <row r="3" spans="1:9" ht="15" customHeight="1" x14ac:dyDescent="0.25">
      <c r="A3" s="1"/>
      <c r="B3" s="108"/>
      <c r="C3" s="108"/>
      <c r="D3" s="108"/>
      <c r="E3" s="108"/>
      <c r="F3" s="108"/>
      <c r="G3" s="108"/>
      <c r="H3" s="108"/>
      <c r="I3" s="1"/>
    </row>
    <row r="4" spans="1:9" x14ac:dyDescent="0.25">
      <c r="A4" s="1"/>
      <c r="B4" s="123" t="s">
        <v>49</v>
      </c>
      <c r="C4" s="124"/>
      <c r="D4" s="124"/>
      <c r="E4" s="124"/>
      <c r="F4" s="124"/>
      <c r="G4" s="124"/>
      <c r="H4" s="125"/>
      <c r="I4" s="1"/>
    </row>
    <row r="5" spans="1:9" x14ac:dyDescent="0.25">
      <c r="A5" s="1"/>
      <c r="B5" s="126" t="s">
        <v>38</v>
      </c>
      <c r="C5" s="127"/>
      <c r="D5" s="127"/>
      <c r="E5" s="127"/>
      <c r="F5" s="128"/>
      <c r="G5" s="58">
        <v>6015408.8933423851</v>
      </c>
      <c r="H5" s="14" t="s">
        <v>3</v>
      </c>
      <c r="I5" s="1"/>
    </row>
    <row r="6" spans="1:9" x14ac:dyDescent="0.25">
      <c r="A6" s="1"/>
      <c r="B6" s="126" t="s">
        <v>39</v>
      </c>
      <c r="C6" s="127"/>
      <c r="D6" s="127"/>
      <c r="E6" s="127"/>
      <c r="F6" s="128"/>
      <c r="G6" s="58">
        <f>G5*'Fane 13. Nøgletal'!C31</f>
        <v>120308.17786684771</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3" t="s">
        <v>50</v>
      </c>
      <c r="C9" s="124"/>
      <c r="D9" s="124"/>
      <c r="E9" s="124"/>
      <c r="F9" s="124"/>
      <c r="G9" s="129"/>
      <c r="H9" s="125"/>
      <c r="I9" s="1"/>
    </row>
    <row r="10" spans="1:9" x14ac:dyDescent="0.25">
      <c r="A10" s="1"/>
      <c r="B10" s="126" t="s">
        <v>40</v>
      </c>
      <c r="C10" s="127"/>
      <c r="D10" s="127"/>
      <c r="E10" s="127"/>
      <c r="F10" s="128"/>
      <c r="G10" s="58">
        <f>(G5-G6)*(1+'Fane 13. Nøgletal'!C9)</f>
        <v>5969968.4945620764</v>
      </c>
      <c r="H10" s="14" t="s">
        <v>3</v>
      </c>
      <c r="I10" s="1"/>
    </row>
    <row r="11" spans="1:9" x14ac:dyDescent="0.25">
      <c r="A11" s="1"/>
      <c r="B11" s="130" t="s">
        <v>41</v>
      </c>
      <c r="C11" s="131"/>
      <c r="D11" s="131"/>
      <c r="E11" s="131"/>
      <c r="F11" s="132"/>
      <c r="G11" s="58">
        <v>0</v>
      </c>
      <c r="H11" s="14" t="s">
        <v>3</v>
      </c>
      <c r="I11" s="1"/>
    </row>
    <row r="12" spans="1:9" x14ac:dyDescent="0.25">
      <c r="A12" s="1"/>
      <c r="B12" s="126" t="s">
        <v>42</v>
      </c>
      <c r="C12" s="127"/>
      <c r="D12" s="127"/>
      <c r="E12" s="127"/>
      <c r="F12" s="128"/>
      <c r="G12" s="58">
        <f>(G10+G11)*'Fane 13. Nøgletal'!C31</f>
        <v>119399.36989124153</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3" t="s">
        <v>51</v>
      </c>
      <c r="C15" s="124"/>
      <c r="D15" s="124"/>
      <c r="E15" s="124"/>
      <c r="F15" s="124"/>
      <c r="G15" s="129"/>
      <c r="H15" s="125"/>
      <c r="I15" s="1"/>
    </row>
    <row r="16" spans="1:9" x14ac:dyDescent="0.25">
      <c r="A16" s="1"/>
      <c r="B16" s="126" t="s">
        <v>43</v>
      </c>
      <c r="C16" s="127"/>
      <c r="D16" s="127"/>
      <c r="E16" s="127"/>
      <c r="F16" s="128"/>
      <c r="G16" s="58">
        <f>(G10+G11-G12)*(1+'Fane 13. Nøgletal'!C11)</f>
        <v>5949443.7428777721</v>
      </c>
      <c r="H16" s="14" t="s">
        <v>3</v>
      </c>
      <c r="I16" s="1"/>
    </row>
    <row r="17" spans="1:9" x14ac:dyDescent="0.25">
      <c r="A17" s="1"/>
      <c r="B17" s="126" t="s">
        <v>108</v>
      </c>
      <c r="C17" s="127"/>
      <c r="D17" s="127"/>
      <c r="E17" s="127"/>
      <c r="F17" s="128"/>
      <c r="G17" s="58">
        <v>-197189.91871909791</v>
      </c>
      <c r="H17" s="14" t="s">
        <v>3</v>
      </c>
      <c r="I17" s="1"/>
    </row>
    <row r="18" spans="1:9" x14ac:dyDescent="0.25">
      <c r="A18" s="1"/>
      <c r="B18" s="130" t="s">
        <v>44</v>
      </c>
      <c r="C18" s="131"/>
      <c r="D18" s="131"/>
      <c r="E18" s="131"/>
      <c r="F18" s="132"/>
      <c r="G18" s="58">
        <v>0</v>
      </c>
      <c r="H18" s="14" t="s">
        <v>3</v>
      </c>
      <c r="I18" s="1"/>
    </row>
    <row r="19" spans="1:9" x14ac:dyDescent="0.25">
      <c r="A19" s="1"/>
      <c r="B19" s="126" t="s">
        <v>45</v>
      </c>
      <c r="C19" s="127"/>
      <c r="D19" s="127"/>
      <c r="E19" s="127"/>
      <c r="F19" s="128"/>
      <c r="G19" s="58">
        <f>SUM(G16:G18)*'Fane 13. Nøgletal'!C31</f>
        <v>115045.07648317349</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3" t="s">
        <v>52</v>
      </c>
      <c r="C22" s="124"/>
      <c r="D22" s="124"/>
      <c r="E22" s="124"/>
      <c r="F22" s="124"/>
      <c r="G22" s="129"/>
      <c r="H22" s="125"/>
      <c r="I22" s="1"/>
    </row>
    <row r="23" spans="1:9" x14ac:dyDescent="0.25">
      <c r="A23" s="1"/>
      <c r="B23" s="126" t="s">
        <v>46</v>
      </c>
      <c r="C23" s="127"/>
      <c r="D23" s="127"/>
      <c r="E23" s="127"/>
      <c r="F23" s="128"/>
      <c r="G23" s="58">
        <f>(SUM(G16:G18)-G19)*(1+'Fane 13. Nøgletal'!C11)</f>
        <v>5732477.5755112162</v>
      </c>
      <c r="H23" s="14" t="s">
        <v>3</v>
      </c>
      <c r="I23" s="1"/>
    </row>
    <row r="24" spans="1:9" x14ac:dyDescent="0.25">
      <c r="A24" s="1"/>
      <c r="B24" s="130" t="s">
        <v>47</v>
      </c>
      <c r="C24" s="131"/>
      <c r="D24" s="131"/>
      <c r="E24" s="131"/>
      <c r="F24" s="132"/>
      <c r="G24" s="58">
        <v>0</v>
      </c>
      <c r="H24" s="14" t="s">
        <v>3</v>
      </c>
      <c r="I24" s="1"/>
    </row>
    <row r="25" spans="1:9" x14ac:dyDescent="0.25">
      <c r="A25" s="1"/>
      <c r="B25" s="126" t="s">
        <v>48</v>
      </c>
      <c r="C25" s="127"/>
      <c r="D25" s="127"/>
      <c r="E25" s="127"/>
      <c r="F25" s="128"/>
      <c r="G25" s="58">
        <f>(G23+G24)*'Fane 13. Nøgletal'!C31</f>
        <v>114649.55151022432</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3" t="s">
        <v>132</v>
      </c>
      <c r="C28" s="124"/>
      <c r="D28" s="124"/>
      <c r="E28" s="124"/>
      <c r="F28" s="124"/>
      <c r="G28" s="129"/>
      <c r="H28" s="125"/>
      <c r="I28" s="1"/>
    </row>
    <row r="29" spans="1:9" x14ac:dyDescent="0.25">
      <c r="A29" s="1"/>
      <c r="B29" s="126" t="s">
        <v>55</v>
      </c>
      <c r="C29" s="127"/>
      <c r="D29" s="127"/>
      <c r="E29" s="127"/>
      <c r="F29" s="128"/>
      <c r="G29" s="58">
        <f>(G23+G24-G25)*(1+'Fane 13. Nøgletal'!C13)</f>
        <v>5686365.5258938037</v>
      </c>
      <c r="H29" s="14" t="s">
        <v>3</v>
      </c>
      <c r="I29" s="1"/>
    </row>
    <row r="30" spans="1:9" x14ac:dyDescent="0.25">
      <c r="A30" s="1"/>
      <c r="B30" s="126" t="s">
        <v>121</v>
      </c>
      <c r="C30" s="127"/>
      <c r="D30" s="127"/>
      <c r="E30" s="127"/>
      <c r="F30" s="128"/>
      <c r="G30" s="58">
        <v>1736946.3358195201</v>
      </c>
      <c r="H30" s="14" t="s">
        <v>3</v>
      </c>
      <c r="I30" s="1"/>
    </row>
    <row r="31" spans="1:9" x14ac:dyDescent="0.25">
      <c r="A31" s="1"/>
      <c r="B31" s="126" t="s">
        <v>126</v>
      </c>
      <c r="C31" s="127"/>
      <c r="D31" s="127"/>
      <c r="E31" s="127"/>
      <c r="F31" s="128"/>
      <c r="G31" s="58">
        <f>(G29+G30)*'Fane 13. Nøgletal'!C31</f>
        <v>148466.23723426647</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3" t="s">
        <v>133</v>
      </c>
      <c r="C34" s="124"/>
      <c r="D34" s="124"/>
      <c r="E34" s="124"/>
      <c r="F34" s="124"/>
      <c r="G34" s="129"/>
      <c r="H34" s="125"/>
      <c r="I34" s="1"/>
    </row>
    <row r="35" spans="1:9" x14ac:dyDescent="0.25">
      <c r="A35" s="1"/>
      <c r="B35" s="126" t="s">
        <v>74</v>
      </c>
      <c r="C35" s="127"/>
      <c r="D35" s="127"/>
      <c r="E35" s="127"/>
      <c r="F35" s="128"/>
      <c r="G35" s="58">
        <f>(G29+G30-G31)*(1+'Fane 13. Nøgletal'!C13)</f>
        <v>7363598.7410977017</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121833.13584937002</v>
      </c>
      <c r="H36" s="14" t="s">
        <v>3</v>
      </c>
      <c r="I36" s="1"/>
    </row>
    <row r="37" spans="1:9" x14ac:dyDescent="0.25">
      <c r="A37" s="1"/>
      <c r="B37" s="126" t="s">
        <v>134</v>
      </c>
      <c r="C37" s="127"/>
      <c r="D37" s="127"/>
      <c r="E37" s="127"/>
      <c r="F37" s="128"/>
      <c r="G37" s="58">
        <f>(G35+G36)*'Fane 13. Nøgletal'!C31</f>
        <v>149708.63753894143</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3" t="s">
        <v>198</v>
      </c>
      <c r="C40" s="124"/>
      <c r="D40" s="124"/>
      <c r="E40" s="124"/>
      <c r="F40" s="124"/>
      <c r="G40" s="129"/>
      <c r="H40" s="125"/>
      <c r="I40" s="1"/>
    </row>
    <row r="41" spans="1:9" x14ac:dyDescent="0.25">
      <c r="A41" s="1"/>
      <c r="B41" s="126" t="s">
        <v>73</v>
      </c>
      <c r="C41" s="127"/>
      <c r="D41" s="127"/>
      <c r="E41" s="127"/>
      <c r="F41" s="128"/>
      <c r="G41" s="58">
        <f>(G35+G36-G37)*(1+'Fane 13. Nøgletal'!C15)</f>
        <v>7596874.9867310598</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159365.43229392005</v>
      </c>
      <c r="H42" s="14" t="s">
        <v>3</v>
      </c>
      <c r="I42" s="1"/>
    </row>
    <row r="43" spans="1:9" x14ac:dyDescent="0.25">
      <c r="A43" s="1"/>
      <c r="B43" s="126" t="s">
        <v>208</v>
      </c>
      <c r="C43" s="127"/>
      <c r="D43" s="127"/>
      <c r="E43" s="127"/>
      <c r="F43" s="128"/>
      <c r="G43" s="58">
        <f>(G41+G42)*'Fane 13. Nøgletal'!C31</f>
        <v>155124.8083804996</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3" t="s">
        <v>199</v>
      </c>
      <c r="C46" s="124"/>
      <c r="D46" s="124"/>
      <c r="E46" s="124"/>
      <c r="F46" s="124"/>
      <c r="G46" s="129"/>
      <c r="H46" s="125"/>
      <c r="I46" s="1"/>
    </row>
    <row r="47" spans="1:9" x14ac:dyDescent="0.25">
      <c r="A47" s="1"/>
      <c r="B47" s="126" t="s">
        <v>122</v>
      </c>
      <c r="C47" s="127"/>
      <c r="D47" s="127"/>
      <c r="E47" s="127"/>
      <c r="F47" s="128"/>
      <c r="G47" s="58">
        <f>(G41+G42-G43)*(1+'Fane 13. Nøgletal'!C15)</f>
        <v>7871715.326383424</v>
      </c>
      <c r="H47" s="14" t="s">
        <v>3</v>
      </c>
      <c r="I47" s="1"/>
    </row>
    <row r="48" spans="1:9" x14ac:dyDescent="0.25">
      <c r="A48" s="1"/>
      <c r="B48" s="126" t="s">
        <v>209</v>
      </c>
      <c r="C48" s="127"/>
      <c r="D48" s="127"/>
      <c r="E48" s="127"/>
      <c r="F48" s="128"/>
      <c r="G48" s="58">
        <f>(G47)*'Fane 13. Nøgletal'!C31</f>
        <v>157434.30652766849</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3" t="s">
        <v>145</v>
      </c>
      <c r="C51" s="124"/>
      <c r="D51" s="124"/>
      <c r="E51" s="124"/>
      <c r="F51" s="124"/>
      <c r="G51" s="129"/>
      <c r="H51" s="125"/>
      <c r="I51" s="1"/>
    </row>
    <row r="52" spans="1:9" x14ac:dyDescent="0.25">
      <c r="A52" s="1"/>
      <c r="B52" s="126" t="s">
        <v>146</v>
      </c>
      <c r="C52" s="127"/>
      <c r="D52" s="127"/>
      <c r="E52" s="127"/>
      <c r="F52" s="128"/>
      <c r="G52" s="58">
        <f>(G47-G48)*(1+'Fane 13. Nøgletal'!C15)</f>
        <v>7988909.4241626207</v>
      </c>
      <c r="H52" s="14" t="s">
        <v>3</v>
      </c>
      <c r="I52" s="1"/>
    </row>
    <row r="53" spans="1:9" x14ac:dyDescent="0.25">
      <c r="A53" s="1"/>
      <c r="B53" s="126" t="s">
        <v>147</v>
      </c>
      <c r="C53" s="127"/>
      <c r="D53" s="127"/>
      <c r="E53" s="127"/>
      <c r="F53" s="128"/>
      <c r="G53" s="58">
        <f>(G52)*'Fane 13. Nøgletal'!C31</f>
        <v>159778.18848325242</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3" t="s">
        <v>174</v>
      </c>
      <c r="C56" s="124"/>
      <c r="D56" s="124"/>
      <c r="E56" s="124"/>
      <c r="F56" s="124"/>
      <c r="G56" s="129"/>
      <c r="H56" s="125"/>
      <c r="I56" s="1"/>
    </row>
    <row r="57" spans="1:9" x14ac:dyDescent="0.25">
      <c r="A57" s="1"/>
      <c r="B57" s="126" t="s">
        <v>175</v>
      </c>
      <c r="C57" s="127"/>
      <c r="D57" s="127"/>
      <c r="E57" s="127"/>
      <c r="F57" s="128"/>
      <c r="G57" s="58">
        <f>(G52-G53)*(1+'Fane 13. Nøgletal'!C15)</f>
        <v>8107848.3076695548</v>
      </c>
      <c r="H57" s="14" t="s">
        <v>3</v>
      </c>
      <c r="I57" s="1"/>
    </row>
    <row r="58" spans="1:9" x14ac:dyDescent="0.25">
      <c r="A58" s="1"/>
      <c r="B58" s="126" t="s">
        <v>176</v>
      </c>
      <c r="C58" s="127"/>
      <c r="D58" s="127"/>
      <c r="E58" s="127"/>
      <c r="F58" s="128"/>
      <c r="G58" s="58">
        <f>(G57)*'Fane 13. Nøgletal'!C31</f>
        <v>162156.96615339111</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4.7109375" style="2" customWidth="1"/>
    <col min="7" max="7" width="10.28515625" style="2" customWidth="1"/>
    <col min="8" max="8" width="2.85546875" style="2" bestFit="1" customWidth="1"/>
    <col min="9" max="9" width="6"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23" t="s">
        <v>53</v>
      </c>
      <c r="C4" s="124"/>
      <c r="D4" s="124"/>
      <c r="E4" s="124"/>
      <c r="F4" s="124"/>
      <c r="G4" s="124"/>
      <c r="H4" s="125"/>
      <c r="I4" s="1"/>
    </row>
    <row r="5" spans="1:9" x14ac:dyDescent="0.25">
      <c r="A5" s="1"/>
      <c r="B5" s="126" t="s">
        <v>56</v>
      </c>
      <c r="C5" s="127"/>
      <c r="D5" s="127"/>
      <c r="E5" s="127"/>
      <c r="F5" s="128"/>
      <c r="G5" s="58">
        <v>6326609.3285152912</v>
      </c>
      <c r="H5" s="14" t="s">
        <v>3</v>
      </c>
      <c r="I5" s="1"/>
    </row>
    <row r="6" spans="1:9" x14ac:dyDescent="0.25">
      <c r="A6" s="1"/>
      <c r="B6" s="126" t="s">
        <v>54</v>
      </c>
      <c r="C6" s="127"/>
      <c r="D6" s="127"/>
      <c r="E6" s="127"/>
      <c r="F6" s="128"/>
      <c r="G6" s="58">
        <f>G5*'Fane 13. Nøgletal'!C20</f>
        <v>57572.144889489151</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3" t="s">
        <v>57</v>
      </c>
      <c r="C9" s="124"/>
      <c r="D9" s="124"/>
      <c r="E9" s="124"/>
      <c r="F9" s="124"/>
      <c r="G9" s="129"/>
      <c r="H9" s="125"/>
      <c r="I9" s="1"/>
    </row>
    <row r="10" spans="1:9" x14ac:dyDescent="0.25">
      <c r="A10" s="1"/>
      <c r="B10" s="126" t="s">
        <v>58</v>
      </c>
      <c r="C10" s="127"/>
      <c r="D10" s="127"/>
      <c r="E10" s="127"/>
      <c r="F10" s="128"/>
      <c r="G10" s="58">
        <f>(G5-G6)*(1+'Fane 13. Nøgletal'!C9)</f>
        <v>6348653.9558578497</v>
      </c>
      <c r="H10" s="14" t="s">
        <v>3</v>
      </c>
      <c r="I10" s="1"/>
    </row>
    <row r="11" spans="1:9" x14ac:dyDescent="0.25">
      <c r="A11" s="1"/>
      <c r="B11" s="130" t="s">
        <v>59</v>
      </c>
      <c r="C11" s="131"/>
      <c r="D11" s="131"/>
      <c r="E11" s="131"/>
      <c r="F11" s="132"/>
      <c r="G11" s="63">
        <v>0</v>
      </c>
      <c r="H11" s="14" t="s">
        <v>3</v>
      </c>
      <c r="I11" s="1"/>
    </row>
    <row r="12" spans="1:9" x14ac:dyDescent="0.25">
      <c r="A12" s="1"/>
      <c r="B12" s="126" t="s">
        <v>60</v>
      </c>
      <c r="C12" s="127"/>
      <c r="D12" s="127"/>
      <c r="E12" s="127"/>
      <c r="F12" s="128"/>
      <c r="G12" s="58">
        <f>G10*'Fane 13. Nøgletal'!C20+G11*'Fane 13. Nøgletal'!C21</f>
        <v>57772.750998306437</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3" t="s">
        <v>61</v>
      </c>
      <c r="C15" s="124"/>
      <c r="D15" s="124"/>
      <c r="E15" s="124"/>
      <c r="F15" s="124"/>
      <c r="G15" s="129"/>
      <c r="H15" s="125"/>
      <c r="I15" s="1"/>
    </row>
    <row r="16" spans="1:9" x14ac:dyDescent="0.25">
      <c r="A16" s="1"/>
      <c r="B16" s="126" t="s">
        <v>62</v>
      </c>
      <c r="C16" s="127"/>
      <c r="D16" s="127"/>
      <c r="E16" s="127"/>
      <c r="F16" s="128"/>
      <c r="G16" s="58">
        <f>(G10+G11-G12)*(1+'Fane 13. Nøgletal'!C11)</f>
        <v>6397197.0972216697</v>
      </c>
      <c r="H16" s="14" t="s">
        <v>3</v>
      </c>
      <c r="I16" s="1"/>
    </row>
    <row r="17" spans="1:9" x14ac:dyDescent="0.25">
      <c r="A17" s="1"/>
      <c r="B17" s="126" t="s">
        <v>109</v>
      </c>
      <c r="C17" s="127"/>
      <c r="D17" s="127"/>
      <c r="E17" s="127"/>
      <c r="F17" s="128"/>
      <c r="G17" s="58">
        <v>23994.741571507882</v>
      </c>
      <c r="H17" s="14" t="s">
        <v>3</v>
      </c>
      <c r="I17" s="1"/>
    </row>
    <row r="18" spans="1:9" x14ac:dyDescent="0.25">
      <c r="A18" s="1"/>
      <c r="B18" s="130" t="s">
        <v>63</v>
      </c>
      <c r="C18" s="131"/>
      <c r="D18" s="131"/>
      <c r="E18" s="131"/>
      <c r="F18" s="132"/>
      <c r="G18" s="58">
        <v>138364.79096043998</v>
      </c>
      <c r="H18" s="14" t="s">
        <v>3</v>
      </c>
      <c r="I18" s="1"/>
    </row>
    <row r="19" spans="1:9" x14ac:dyDescent="0.25">
      <c r="A19" s="1"/>
      <c r="B19" s="126" t="s">
        <v>64</v>
      </c>
      <c r="C19" s="127"/>
      <c r="D19" s="127"/>
      <c r="E19" s="127"/>
      <c r="F19" s="128"/>
      <c r="G19" s="58">
        <f>(G16+G17+G18)*'Fane 13. Nøgletal'!C22</f>
        <v>57068.142678856471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3" t="s">
        <v>65</v>
      </c>
      <c r="C22" s="124"/>
      <c r="D22" s="124"/>
      <c r="E22" s="124"/>
      <c r="F22" s="124"/>
      <c r="G22" s="129"/>
      <c r="H22" s="125"/>
      <c r="I22" s="1"/>
    </row>
    <row r="23" spans="1:9" x14ac:dyDescent="0.25">
      <c r="A23" s="1"/>
      <c r="B23" s="126" t="s">
        <v>66</v>
      </c>
      <c r="C23" s="127"/>
      <c r="D23" s="127"/>
      <c r="E23" s="127"/>
      <c r="F23" s="128"/>
      <c r="G23" s="58">
        <f>(SUM(G16:G18)-G19)*(1+'Fane 13. Nøgletal'!C11)</f>
        <v>6612380.5425063232</v>
      </c>
      <c r="H23" s="14" t="s">
        <v>3</v>
      </c>
      <c r="I23" s="1"/>
    </row>
    <row r="24" spans="1:9" x14ac:dyDescent="0.25">
      <c r="A24" s="1"/>
      <c r="B24" s="130" t="s">
        <v>67</v>
      </c>
      <c r="C24" s="131"/>
      <c r="D24" s="131"/>
      <c r="E24" s="131"/>
      <c r="F24" s="132"/>
      <c r="G24" s="58">
        <v>122892.45037829102</v>
      </c>
      <c r="H24" s="14" t="s">
        <v>3</v>
      </c>
      <c r="I24" s="1"/>
    </row>
    <row r="25" spans="1:9" x14ac:dyDescent="0.25">
      <c r="A25" s="1"/>
      <c r="B25" s="126" t="s">
        <v>68</v>
      </c>
      <c r="C25" s="127"/>
      <c r="D25" s="127"/>
      <c r="E25" s="127"/>
      <c r="F25" s="128"/>
      <c r="G25" s="58">
        <f>G23*'Fane 13. Nøgletal'!C22+G24*'Fane 13. Nøgletal'!C23</f>
        <v>61017.856310548472</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3" t="s">
        <v>130</v>
      </c>
      <c r="C28" s="124"/>
      <c r="D28" s="124"/>
      <c r="E28" s="124"/>
      <c r="F28" s="124"/>
      <c r="G28" s="129"/>
      <c r="H28" s="125"/>
      <c r="I28" s="1"/>
    </row>
    <row r="29" spans="1:9" x14ac:dyDescent="0.25">
      <c r="A29" s="1"/>
      <c r="B29" s="126" t="s">
        <v>69</v>
      </c>
      <c r="C29" s="127"/>
      <c r="D29" s="127"/>
      <c r="E29" s="127"/>
      <c r="F29" s="128"/>
      <c r="G29" s="58">
        <f>(G23+G24-G25)*(1+'Fane 13. Nøgletal'!C13)</f>
        <v>6755681.0492402697</v>
      </c>
      <c r="H29" s="14" t="s">
        <v>3</v>
      </c>
      <c r="I29" s="1"/>
    </row>
    <row r="30" spans="1:9" x14ac:dyDescent="0.25">
      <c r="A30" s="1"/>
      <c r="B30" s="126" t="s">
        <v>123</v>
      </c>
      <c r="C30" s="127"/>
      <c r="D30" s="127"/>
      <c r="E30" s="127"/>
      <c r="F30" s="128"/>
      <c r="G30" s="58">
        <v>712788.87347640004</v>
      </c>
      <c r="H30" s="14" t="s">
        <v>3</v>
      </c>
      <c r="I30" s="1"/>
    </row>
    <row r="31" spans="1:9" x14ac:dyDescent="0.25">
      <c r="A31" s="1"/>
      <c r="B31" s="126" t="s">
        <v>131</v>
      </c>
      <c r="C31" s="127"/>
      <c r="D31" s="127"/>
      <c r="E31" s="127"/>
      <c r="F31" s="128"/>
      <c r="G31" s="58">
        <f>(G29+G30)*'Fane 13. Nøgletal'!C24</f>
        <v>205382.92287470843</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3" t="s">
        <v>135</v>
      </c>
      <c r="C34" s="124"/>
      <c r="D34" s="124"/>
      <c r="E34" s="124"/>
      <c r="F34" s="124"/>
      <c r="G34" s="129"/>
      <c r="H34" s="125"/>
      <c r="I34" s="1"/>
    </row>
    <row r="35" spans="1:9" x14ac:dyDescent="0.25">
      <c r="A35" s="1"/>
      <c r="B35" s="126" t="s">
        <v>72</v>
      </c>
      <c r="C35" s="127"/>
      <c r="D35" s="127"/>
      <c r="E35" s="127"/>
      <c r="F35" s="128"/>
      <c r="G35" s="58">
        <f>(G29+G30-G31)*(1+'Fane 13. Nøgletal'!C13)</f>
        <v>7351696.6612400329</v>
      </c>
      <c r="H35" s="14" t="s">
        <v>3</v>
      </c>
      <c r="I35" s="1"/>
    </row>
    <row r="36" spans="1:9" x14ac:dyDescent="0.25">
      <c r="A36" s="1"/>
      <c r="B36" s="126" t="s">
        <v>141</v>
      </c>
      <c r="C36" s="127"/>
      <c r="D36" s="127"/>
      <c r="E36" s="127"/>
      <c r="F36" s="128"/>
      <c r="G36" s="58">
        <f>SUM('Fane 3. Omkostninger i ØR2022'!E11)*(1+'Fane 13. Nøgletal'!C14)</f>
        <v>37090.591463830009</v>
      </c>
      <c r="H36" s="14" t="s">
        <v>3</v>
      </c>
      <c r="I36" s="1"/>
    </row>
    <row r="37" spans="1:9" x14ac:dyDescent="0.25">
      <c r="A37" s="1"/>
      <c r="B37" s="126" t="s">
        <v>136</v>
      </c>
      <c r="C37" s="127"/>
      <c r="D37" s="127"/>
      <c r="E37" s="127"/>
      <c r="F37" s="128"/>
      <c r="G37" s="58">
        <f>G35*'Fane 13. Nøgletal'!C24+G36*'Fane 13. Nøgletal'!C25</f>
        <v>202720.59893776558</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3" t="s">
        <v>200</v>
      </c>
      <c r="C40" s="124"/>
      <c r="D40" s="124"/>
      <c r="E40" s="124"/>
      <c r="F40" s="124"/>
      <c r="G40" s="129"/>
      <c r="H40" s="125"/>
      <c r="I40" s="1"/>
    </row>
    <row r="41" spans="1:9" x14ac:dyDescent="0.25">
      <c r="A41" s="1"/>
      <c r="B41" s="126" t="s">
        <v>71</v>
      </c>
      <c r="C41" s="127"/>
      <c r="D41" s="127"/>
      <c r="E41" s="127"/>
      <c r="F41" s="128"/>
      <c r="G41" s="58">
        <f>(G35+G36-G37)*(1+'Fane 13. Nøgletal'!C15)</f>
        <v>7441890.6266401708</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762710.90228064009</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3" t="s">
        <v>201</v>
      </c>
      <c r="C46" s="124"/>
      <c r="D46" s="124"/>
      <c r="E46" s="124"/>
      <c r="F46" s="124"/>
      <c r="G46" s="129"/>
      <c r="H46" s="125"/>
      <c r="I46" s="1"/>
    </row>
    <row r="47" spans="1:9" x14ac:dyDescent="0.25">
      <c r="A47" s="1"/>
      <c r="B47" s="126" t="s">
        <v>124</v>
      </c>
      <c r="C47" s="127"/>
      <c r="D47" s="127"/>
      <c r="E47" s="127"/>
      <c r="F47" s="128"/>
      <c r="G47" s="58">
        <f>(G41+G42-G43)*(1+'Fane 13. Nøgletal'!C15)</f>
        <v>8496685.3433503918</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3" t="s">
        <v>142</v>
      </c>
      <c r="C51" s="124"/>
      <c r="D51" s="124"/>
      <c r="E51" s="124"/>
      <c r="F51" s="124"/>
      <c r="G51" s="129"/>
      <c r="H51" s="125"/>
      <c r="I51" s="1"/>
    </row>
    <row r="52" spans="1:9" x14ac:dyDescent="0.25">
      <c r="A52" s="1"/>
      <c r="B52" s="126" t="s">
        <v>143</v>
      </c>
      <c r="C52" s="127"/>
      <c r="D52" s="127"/>
      <c r="E52" s="127"/>
      <c r="F52" s="128"/>
      <c r="G52" s="58">
        <f>(G47-G48)*(1+'Fane 13. Nøgletal'!C15)</f>
        <v>8799167.3415736668</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3" t="s">
        <v>177</v>
      </c>
      <c r="C56" s="124"/>
      <c r="D56" s="124"/>
      <c r="E56" s="124"/>
      <c r="F56" s="124"/>
      <c r="G56" s="129"/>
      <c r="H56" s="125"/>
      <c r="I56" s="1"/>
    </row>
    <row r="57" spans="1:9" x14ac:dyDescent="0.25">
      <c r="A57" s="1"/>
      <c r="B57" s="126" t="s">
        <v>178</v>
      </c>
      <c r="C57" s="127"/>
      <c r="D57" s="127"/>
      <c r="E57" s="127"/>
      <c r="F57" s="128"/>
      <c r="G57" s="58">
        <f>(G52-G53)*(1+'Fane 13. Nøgletal'!C15)</f>
        <v>9112417.6989336908</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3" t="s">
        <v>9</v>
      </c>
      <c r="C8" s="124"/>
      <c r="D8" s="124"/>
      <c r="E8" s="124"/>
      <c r="F8" s="124"/>
      <c r="G8" s="124"/>
      <c r="H8" s="1"/>
    </row>
    <row r="9" spans="1:8" x14ac:dyDescent="0.25">
      <c r="A9" s="1"/>
      <c r="B9" s="76" t="s">
        <v>180</v>
      </c>
      <c r="C9" s="77"/>
      <c r="D9" s="77"/>
      <c r="E9" s="77"/>
      <c r="F9" s="78"/>
      <c r="G9" s="28">
        <v>1.1687040882475602E-2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ONd03Dr12JrcSCe2VS/JB6AO/5aYJLhVFtrd0XC2wCuZI86Ga63tGrGaweAbqFR1vn6Jhws1yv7PxiVA5qb0ZA==" saltValue="5X1C1TtccxQNlgmU/0ZgJ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2022-12-01T09:34:10Z</dcterms:modified>
</cp:coreProperties>
</file>