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SK Vand AS (V165)\ØR2025\"/>
    </mc:Choice>
  </mc:AlternateContent>
  <xr:revisionPtr revIDLastSave="0" documentId="13_ncr:1_{5D5A9320-922C-4D8B-82E6-D4FCB18C3A0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7" i="39" l="1"/>
  <c r="E18" i="39" s="1"/>
  <c r="C17" i="39"/>
  <c r="C18" i="39" s="1"/>
  <c r="J11" i="11" l="1"/>
  <c r="E10" i="37" s="1"/>
  <c r="H11" i="11"/>
  <c r="C10" i="37" s="1"/>
  <c r="C30" i="41" l="1"/>
  <c r="C18" i="15" l="1"/>
  <c r="C30" i="2"/>
  <c r="C18" i="40" l="1"/>
  <c r="C19" i="19" l="1"/>
  <c r="C20" i="19" s="1"/>
  <c r="C16" i="43" l="1"/>
  <c r="C16" i="23"/>
  <c r="C16" i="15"/>
  <c r="C15" i="2"/>
  <c r="E16" i="37"/>
  <c r="E17" i="37" s="1"/>
  <c r="C16" i="37"/>
  <c r="C17"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<sst xmlns="http://schemas.openxmlformats.org/spreadsheetml/2006/main" count="460" uniqueCount="209">
  <si>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</si>
  <si>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</si>
  <si>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</si>
  <si>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</si>
  <si>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</si>
  <si>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</si>
  <si>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</si>
  <si>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</si>
  <si>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</si>
  <si>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</si>
  <si>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</si>
  <si>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</si>
  <si>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</si>
  <si>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</si>
  <si>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</si>
  <si>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</si>
  <si>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</si>
  <si>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</si>
  <si>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</si>
  <si>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</si>
  <si>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</si>
  <si>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</si>
  <si>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</si>
  <si>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</si>
  <si>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</si>
  <si>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</si>
  <si>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</si>
  <si>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</si>
  <si>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</si>
  <si>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</si>
  <si>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</si>
  <si>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</si>
  <si>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</si>
  <si>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</si>
  <si>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</si>
  <si>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</si>
  <si>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</si>
  <si>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</si>
  <si>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</si>
  <si>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</si>
  <si>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</si>
  <si>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</si>
  <si>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</si>
  <si>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</si>
  <si>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</si>
  <si>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</si>
  <si>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</si>
  <si>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</si>
  <si>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</si>
  <si>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</si>
  <si>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</si>
  <si>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</si>
  <si>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</si>
  <si>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</si>
  <si>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</si>
  <si>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</si>
  <si>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</si>
  <si>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</si>
  <si>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</si>
  <si>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</si>
  <si>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</si>
  <si>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</si>
  <si>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</si>
  <si>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</si>
  <si>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</si>
  <si>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</si>
  <si>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</si>
  <si>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</si>
  <si>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</si>
  <si>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</si>
  <si>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</si>
  <si>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</si>
  <si>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</si>
  <si>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</si>
  <si>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</si>
  <si>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</si>
  <si>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</si>
  <si>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</si>
  <si>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</si>
  <si>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</si>
  <si>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</si>
  <si>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</si>
  <si>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</si>
  <si>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</si>
  <si>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</si>
  <si>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</si>
  <si>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</si>
  <si>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</si>
  <si>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</si>
  <si>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</si>
  <si>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</si>
  <si>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</si>
  <si>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</si>
  <si>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</si>
  <si>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</si>
  <si>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</si>
  <si>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</si>
  <si>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</si>
  <si>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</si>
  <si>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</si>
  <si>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</si>
  <si>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</si>
  <si>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</si>
  <si>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</si>
  <si>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</si>
  <si>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</si>
  <si>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</si>
  <si>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</si>
  <si>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</si>
  <si>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</si>
  <si>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</si>
  <si>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</si>
  <si>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</si>
  <si>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</si>
  <si>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</si>
  <si>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</si>
  <si>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</si>
  <si>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</si>
  <si>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</si>
  <si>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</si>
  <si>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</si>
  <si>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</si>
  <si>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</si>
  <si>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</si>
  <si>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</si>
  <si>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</si>
  <si>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</si>
  <si>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</si>
  <si>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</si>
  <si>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</si>
  <si>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</si>
  <si>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</si>
  <si>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</si>
  <si>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</si>
  <si>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</si>
  <si>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</si>
  <si>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</si>
  <si>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</si>
  <si>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</si>
  <si>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</si>
  <si>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</si>
  <si>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</si>
  <si>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</si>
  <si>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</si>
  <si>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</si>
  <si>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</si>
  <si>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</si>
  <si>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</si>
  <si>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</si>
  <si>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</si>
  <si>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</si>
  <si>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</si>
  <si>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</si>
  <si>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</si>
  <si>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</si>
  <si>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</si>
  <si>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</si>
  <si>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</si>
  <si>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</si>
  <si>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</si>
  <si>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</si>
  <si>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</si>
  <si>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</si>
  <si>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</si>
  <si>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</si>
  <si>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</si>
  <si>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</si>
  <si>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</si>
  <si>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</si>
  <si>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</si>
  <si>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</si>
  <si>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</si>
  <si>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</si>
  <si>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</si>
  <si>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</si>
  <si>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</si>
  <si>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</si>
  <si>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</si>
  <si>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</si>
  <si>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</si>
  <si>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</si>
  <si>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</si>
  <si>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</si>
  <si>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</si>
  <si>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</si>
  <si>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</si>
  <si>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</si>
  <si>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</si>
  <si>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</si>
  <si>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</si>
  <si>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</si>
  <si>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</si>
  <si>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</si>
  <si>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</si>
  <si>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</si>
  <si>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</si>
  <si>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</si>
  <si>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</si>
  <si>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</si>
  <si>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</si>
  <si>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Tjenestemandspensioner</t>
  </si>
  <si>
    <t>Erstatninger</t>
  </si>
  <si>
    <t>Frivillige aftaler om dyrkningspraksis eller andre restriktioner i arealanvendelse</t>
  </si>
  <si>
    <t>Egenkontrol elektroniske målere Opstart</t>
  </si>
  <si>
    <t>Byggemodninger og nytilslutninger</t>
  </si>
  <si>
    <t>Sløjfning af boringer Forlev</t>
  </si>
  <si>
    <t>Udvidet analyseprogram pålagt af Slagelse Kommune</t>
  </si>
  <si>
    <t>Grundvandsbeskyttelse. Nødvendigt arbejde vedr BNBO og PIO</t>
  </si>
  <si>
    <t>Nyt vandværk med tilhørende ledningsnet Fase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</si>
</sst>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65" fontId="8" fillId="4" borderId="1" xfId="1" applyNumberFormat="1" applyFont="1" applyFill="1" applyBorder="1" applyProtection="1"/>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196</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159</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OcA0tj/Cly4r6WBuTfNxfJ7cBAR+BXqGj+iuOroRN83ix13baBD5AWwhwcIMXKFbCdAjWbg187OPfFRG3+y3kA==" saltValue="0xCo0o8+dud8PCjOxYv1WA=="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5" t="s">
        <v>197</v>
      </c>
      <c r="C10" s="66">
        <v>22889607</v>
      </c>
      <c r="D10" s="14" t="s">
        <v>3</v>
      </c>
      <c r="E10" s="1"/>
    </row>
    <row r="11" spans="1:5" x14ac:dyDescent="0.25">
      <c r="A11" s="1"/>
      <c r="B11" s="65" t="s">
        <v>198</v>
      </c>
      <c r="C11" s="66">
        <v>117106</v>
      </c>
      <c r="D11" s="14" t="s">
        <v>3</v>
      </c>
      <c r="E11" s="1"/>
    </row>
    <row r="12" spans="1:5" x14ac:dyDescent="0.25">
      <c r="A12" s="1"/>
      <c r="B12" s="65" t="s">
        <v>199</v>
      </c>
      <c r="C12" s="66">
        <v>109347</v>
      </c>
      <c r="D12" s="14" t="s">
        <v>3</v>
      </c>
      <c r="E12" s="1"/>
    </row>
    <row r="13" spans="1:5" x14ac:dyDescent="0.25">
      <c r="A13" s="1"/>
      <c r="B13" s="65" t="s">
        <v>200</v>
      </c>
      <c r="C13" s="66">
        <v>25068</v>
      </c>
      <c r="D13" s="14" t="s">
        <v>3</v>
      </c>
      <c r="E13" s="1"/>
    </row>
    <row r="14" spans="1:5" x14ac:dyDescent="0.25">
      <c r="A14" s="1"/>
      <c r="B14" s="65" t="s">
        <v>201</v>
      </c>
      <c r="C14" s="66">
        <v>240544</v>
      </c>
      <c r="D14" s="14" t="s">
        <v>3</v>
      </c>
      <c r="E14" s="1"/>
    </row>
    <row r="15" spans="1:5" ht="25.5" x14ac:dyDescent="0.25">
      <c r="A15" s="1"/>
      <c r="B15" s="65" t="s">
        <v>202</v>
      </c>
      <c r="C15" s="66">
        <v>2462308</v>
      </c>
      <c r="D15" s="14" t="s">
        <v>3</v>
      </c>
      <c r="E15" s="1"/>
    </row>
    <row r="16" spans="1:5" x14ac:dyDescent="0.25">
      <c r="A16" s="1"/>
      <c r="B16" s="65"/>
      <c r="C16" s="66"/>
      <c r="D16" s="14" t="s">
        <v>3</v>
      </c>
      <c r="E16" s="1"/>
    </row>
    <row r="17" spans="1:5" x14ac:dyDescent="0.25">
      <c r="A17" s="1"/>
      <c r="B17" s="65"/>
      <c r="C17" s="66"/>
      <c r="D17" s="14" t="s">
        <v>3</v>
      </c>
      <c r="E17" s="1"/>
    </row>
    <row r="18" spans="1:5" x14ac:dyDescent="0.25">
      <c r="A18" s="1"/>
      <c r="B18" s="65"/>
      <c r="C18" s="66"/>
      <c r="D18" s="14" t="s">
        <v>3</v>
      </c>
      <c r="E18" s="1"/>
    </row>
    <row r="19" spans="1:5" x14ac:dyDescent="0.25">
      <c r="A19" s="1"/>
      <c r="B19" s="52" t="s">
        <v>143</v>
      </c>
      <c r="C19" s="12">
        <f>SUM(C10:C18)</f>
        <v>25843980</v>
      </c>
      <c r="D19" s="13" t="s">
        <v>3</v>
      </c>
      <c r="E19" s="1"/>
    </row>
    <row r="20" spans="1:5" x14ac:dyDescent="0.25">
      <c r="A20" s="1"/>
      <c r="B20" s="52" t="s">
        <v>144</v>
      </c>
      <c r="C20" s="12">
        <f>C19*(1+'Fane 13. Nøgletal'!C11)^2</f>
        <v>29384493.872446202</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7BodZxwBp2E/sQU6Z7dU34/0vdX9uhP1cxtrjiaeeZgRiM064CB43zQOin53dVJOy7ZAvr2/b+/GqPiPP+89rA==" saltValue="AkDAN7pPLhGS35P2vII2W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1"/>
      <c r="D7" s="1"/>
      <c r="E7" s="1"/>
    </row>
    <row r="8" spans="1:5" x14ac:dyDescent="0.25">
      <c r="A8" s="1"/>
      <c r="B8" s="98" t="s">
        <v>175</v>
      </c>
      <c r="C8" s="99"/>
      <c r="D8" s="100"/>
      <c r="E8" s="1"/>
    </row>
    <row r="9" spans="1:5" x14ac:dyDescent="0.25">
      <c r="A9" s="1"/>
      <c r="B9" s="56" t="s">
        <v>176</v>
      </c>
      <c r="C9" s="9">
        <v>-3389501.4501098543</v>
      </c>
      <c r="D9" s="39" t="s">
        <v>3</v>
      </c>
      <c r="E9" s="1"/>
    </row>
    <row r="10" spans="1:5" x14ac:dyDescent="0.25">
      <c r="A10" s="1"/>
      <c r="B10" s="56" t="s">
        <v>174</v>
      </c>
      <c r="C10" s="9">
        <v>-1440103.1510458291</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9" t="s">
        <v>177</v>
      </c>
      <c r="C14" s="70"/>
      <c r="D14" s="71"/>
      <c r="E14" s="1"/>
    </row>
    <row r="15" spans="1:5" x14ac:dyDescent="0.25">
      <c r="A15" s="1"/>
      <c r="B15" s="56" t="s">
        <v>178</v>
      </c>
      <c r="C15" s="9">
        <f>IF(C10&lt;0,C10,0)</f>
        <v>-1440103.1510458291</v>
      </c>
      <c r="D15" s="14" t="s">
        <v>3</v>
      </c>
      <c r="E15" s="1"/>
    </row>
    <row r="16" spans="1:5" x14ac:dyDescent="0.25">
      <c r="A16" s="1"/>
      <c r="B16" s="56" t="s">
        <v>185</v>
      </c>
      <c r="C16" s="9">
        <f>IF(SUM(C9)&gt;0,SUM(C9),0)</f>
        <v>0</v>
      </c>
      <c r="D16" s="14" t="s">
        <v>3</v>
      </c>
      <c r="E16" s="1"/>
    </row>
    <row r="17" spans="1:5" ht="26.25" x14ac:dyDescent="0.25">
      <c r="A17" s="1"/>
      <c r="B17" s="72" t="s">
        <v>179</v>
      </c>
      <c r="C17" s="62">
        <f>IF(SUM(C15:C16)&gt;0,0,SUM(C15:C16))</f>
        <v>-1440103.1510458291</v>
      </c>
      <c r="D17" s="17" t="s">
        <v>3</v>
      </c>
      <c r="E17" s="1"/>
    </row>
    <row r="18" spans="1:5" x14ac:dyDescent="0.25">
      <c r="A18" s="1"/>
      <c r="B18" s="52"/>
      <c r="C18" s="53"/>
      <c r="D18" s="19"/>
      <c r="E18" s="1"/>
    </row>
    <row r="19" spans="1:5" x14ac:dyDescent="0.25">
      <c r="A19" s="1"/>
      <c r="B19" s="1"/>
      <c r="C19" s="1"/>
      <c r="D19" s="1"/>
      <c r="E19" s="1"/>
    </row>
    <row r="20" spans="1:5" x14ac:dyDescent="0.25">
      <c r="A20" s="1"/>
      <c r="B20" s="69" t="s">
        <v>180</v>
      </c>
      <c r="C20" s="70"/>
      <c r="D20" s="71"/>
      <c r="E20" s="1"/>
    </row>
    <row r="21" spans="1:5" x14ac:dyDescent="0.25">
      <c r="A21" s="1"/>
      <c r="B21" s="56" t="s">
        <v>181</v>
      </c>
      <c r="C21" s="9">
        <v>70456742.410677016</v>
      </c>
      <c r="D21" s="14" t="s">
        <v>3</v>
      </c>
      <c r="E21" s="1"/>
    </row>
    <row r="22" spans="1:5" x14ac:dyDescent="0.25">
      <c r="A22" s="1"/>
      <c r="B22" s="56" t="s">
        <v>182</v>
      </c>
      <c r="C22" s="9">
        <v>72394875</v>
      </c>
      <c r="D22" s="14" t="s">
        <v>3</v>
      </c>
      <c r="E22" s="1"/>
    </row>
    <row r="23" spans="1:5" x14ac:dyDescent="0.25">
      <c r="A23" s="1"/>
      <c r="B23" s="56" t="s">
        <v>28</v>
      </c>
      <c r="C23" s="9">
        <v>0</v>
      </c>
      <c r="D23" s="14" t="s">
        <v>3</v>
      </c>
      <c r="E23" s="1"/>
    </row>
    <row r="24" spans="1:5" x14ac:dyDescent="0.25">
      <c r="A24" s="1"/>
      <c r="B24" s="74" t="s">
        <v>183</v>
      </c>
      <c r="C24" s="46">
        <f>C21-C22-C23</f>
        <v>-1938132.5893229842</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-3378235.7403688133</v>
      </c>
      <c r="D28" s="14" t="s">
        <v>3</v>
      </c>
      <c r="E28" s="1"/>
    </row>
    <row r="29" spans="1:5" x14ac:dyDescent="0.25">
      <c r="A29" s="1"/>
      <c r="B29" s="57" t="s">
        <v>48</v>
      </c>
      <c r="C29" s="9">
        <v>2</v>
      </c>
      <c r="D29" s="14" t="s">
        <v>18</v>
      </c>
      <c r="E29" s="1"/>
    </row>
    <row r="30" spans="1:5" x14ac:dyDescent="0.25">
      <c r="A30" s="1"/>
      <c r="B30" s="58" t="s">
        <v>64</v>
      </c>
      <c r="C30" s="10">
        <f>C28/C29</f>
        <v>-1689117.8701844066</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8KHaymuvu0LFc+pG2rqBi2IKb1TPj0KeYQord2EGK0+UOpPvBu4U1rKu1H2G5MGfXXFGIKyyEsZwydpdCoD9Vw==" saltValue="Hq2/wk1PuHUT3nthdM+b/A=="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9"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44u/jWZl10KxQtCdQm1rOvhUijbymAEdPcLMpbgmAGZrCZV0BBh7s5F+Aim1qT5Xmm8vDGPDMOb8yG72Uo2uw==" saltValue="fGZM06ySyNOdSM5+RprBj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OfD/7Ovghzz5e4XnxqpI68SOYLerJlbdh4cd2e2fy0r9+Ig525T9oZxHGaah+t3y4a3BmlrqPeAjTFL3UuoqIQ==" saltValue="rzCawPHjhKhQCxfSlpMYl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203</v>
      </c>
      <c r="C11" s="21">
        <v>318976</v>
      </c>
      <c r="D11" s="14" t="s">
        <v>3</v>
      </c>
      <c r="E11" s="9">
        <v>0</v>
      </c>
      <c r="F11" s="14" t="s">
        <v>3</v>
      </c>
      <c r="G11" s="1"/>
    </row>
    <row r="12" spans="1:7" x14ac:dyDescent="0.25">
      <c r="A12" s="1"/>
      <c r="B12" s="26" t="s">
        <v>204</v>
      </c>
      <c r="C12" s="21">
        <v>697707</v>
      </c>
      <c r="D12" s="14" t="s">
        <v>3</v>
      </c>
      <c r="E12" s="9">
        <v>49237</v>
      </c>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52" t="s">
        <v>112</v>
      </c>
      <c r="C16" s="12">
        <f>SUM(C10:C15)</f>
        <v>1016683</v>
      </c>
      <c r="D16" s="13" t="s">
        <v>3</v>
      </c>
      <c r="E16" s="12">
        <f>SUM(E10:E15)</f>
        <v>49237</v>
      </c>
      <c r="F16" s="13" t="s">
        <v>3</v>
      </c>
      <c r="G16" s="1"/>
    </row>
    <row r="17" spans="1:7" x14ac:dyDescent="0.25">
      <c r="A17" s="1"/>
      <c r="B17" s="52" t="s">
        <v>147</v>
      </c>
      <c r="C17" s="12">
        <f>C16*(1+'Fane 13. Nøgletal'!C11)</f>
        <v>1084089.0829</v>
      </c>
      <c r="D17" s="13" t="s">
        <v>3</v>
      </c>
      <c r="E17" s="12">
        <f>E16*(1+'Fane 13. Nøgletal'!C11)</f>
        <v>52501.413099999998</v>
      </c>
      <c r="F17" s="13" t="s">
        <v>3</v>
      </c>
      <c r="G17" s="1"/>
    </row>
    <row r="18" spans="1:7" x14ac:dyDescent="0.25">
      <c r="A18" s="1"/>
      <c r="B18" s="1"/>
      <c r="C18" s="1" t="s">
        <v>82</v>
      </c>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0"/>
      <c r="B50" s="40"/>
      <c r="C50" s="40"/>
      <c r="D50" s="40"/>
      <c r="E50" s="40"/>
      <c r="F50" s="40"/>
      <c r="G50" s="40"/>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x14ac:dyDescent="0.25"/>
  </sheetData>
  <sheetProtection algorithmName="SHA-512" hashValue="tVjpdPMNg8kTp+/id1baoOoAY1WwLWwDhTQOYPQTltf6dONYIzxQ+wMuelWNhdqXK/cmDvdZQyDRPERAyYTRbw==" saltValue="8HusYdft9sDei21fefblK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2" t="s">
        <v>15</v>
      </c>
      <c r="C9" s="74" t="s">
        <v>10</v>
      </c>
      <c r="D9" s="75"/>
      <c r="E9" s="74" t="s">
        <v>26</v>
      </c>
      <c r="F9" s="27"/>
      <c r="G9" s="1"/>
    </row>
    <row r="10" spans="1:7" x14ac:dyDescent="0.25">
      <c r="A10" s="1"/>
      <c r="B10" s="23" t="s">
        <v>203</v>
      </c>
      <c r="C10" s="21">
        <v>2248046</v>
      </c>
      <c r="D10" s="14" t="s">
        <v>3</v>
      </c>
      <c r="E10" s="9">
        <v>0</v>
      </c>
      <c r="F10" s="14" t="s">
        <v>3</v>
      </c>
      <c r="G10" s="1"/>
    </row>
    <row r="11" spans="1:7" ht="26.25" x14ac:dyDescent="0.25">
      <c r="A11" s="1"/>
      <c r="B11" s="60" t="s">
        <v>207</v>
      </c>
      <c r="C11" s="21">
        <v>618010</v>
      </c>
      <c r="D11" s="14" t="s">
        <v>3</v>
      </c>
      <c r="E11" s="9">
        <v>0</v>
      </c>
      <c r="F11" s="14" t="s">
        <v>3</v>
      </c>
      <c r="G11" s="1"/>
    </row>
    <row r="12" spans="1:7" x14ac:dyDescent="0.25">
      <c r="A12" s="1"/>
      <c r="B12" s="23" t="s">
        <v>205</v>
      </c>
      <c r="C12" s="21">
        <v>1295203</v>
      </c>
      <c r="D12" s="14" t="s">
        <v>3</v>
      </c>
      <c r="E12" s="9">
        <v>0</v>
      </c>
      <c r="F12" s="14" t="s">
        <v>3</v>
      </c>
      <c r="G12" s="1"/>
    </row>
    <row r="13" spans="1:7" x14ac:dyDescent="0.25">
      <c r="A13" s="1"/>
      <c r="B13" s="23" t="s">
        <v>206</v>
      </c>
      <c r="C13" s="21">
        <v>408009</v>
      </c>
      <c r="D13" s="14" t="s">
        <v>3</v>
      </c>
      <c r="E13" s="9">
        <v>0</v>
      </c>
      <c r="F13" s="14" t="s">
        <v>3</v>
      </c>
      <c r="G13" s="1"/>
    </row>
    <row r="14" spans="1:7" x14ac:dyDescent="0.25">
      <c r="A14" s="1"/>
      <c r="B14" s="23" t="s">
        <v>208</v>
      </c>
      <c r="C14" s="21">
        <v>3263526</v>
      </c>
      <c r="D14" s="14" t="s">
        <v>3</v>
      </c>
      <c r="E14" s="9">
        <v>0</v>
      </c>
      <c r="F14" s="14" t="s">
        <v>3</v>
      </c>
      <c r="G14" s="1"/>
    </row>
    <row r="15" spans="1:7" x14ac:dyDescent="0.25">
      <c r="A15" s="1"/>
      <c r="B15" s="23"/>
      <c r="C15" s="21"/>
      <c r="D15" s="14" t="s">
        <v>3</v>
      </c>
      <c r="E15" s="9"/>
      <c r="F15" s="14" t="s">
        <v>3</v>
      </c>
      <c r="G15" s="1"/>
    </row>
    <row r="16" spans="1:7" x14ac:dyDescent="0.25">
      <c r="A16" s="1"/>
      <c r="B16" s="23"/>
      <c r="C16" s="21"/>
      <c r="D16" s="14" t="s">
        <v>3</v>
      </c>
      <c r="E16" s="9"/>
      <c r="F16" s="14" t="s">
        <v>3</v>
      </c>
      <c r="G16" s="1"/>
    </row>
    <row r="17" spans="1:7" x14ac:dyDescent="0.25">
      <c r="A17" s="1"/>
      <c r="B17" s="52" t="s">
        <v>148</v>
      </c>
      <c r="C17" s="12">
        <f>SUM(C10:C16)</f>
        <v>7832794</v>
      </c>
      <c r="D17" s="13" t="s">
        <v>3</v>
      </c>
      <c r="E17" s="12">
        <f>SUM(E10:E16)</f>
        <v>0</v>
      </c>
      <c r="F17" s="13" t="s">
        <v>3</v>
      </c>
      <c r="G17" s="1"/>
    </row>
    <row r="18" spans="1:7" x14ac:dyDescent="0.25">
      <c r="A18" s="1"/>
      <c r="B18" s="52" t="s">
        <v>149</v>
      </c>
      <c r="C18" s="12">
        <f>C17*(1+'Fane 13. Nøgletal'!$C$11)^2</f>
        <v>8905853.0186578594</v>
      </c>
      <c r="D18" s="13" t="s">
        <v>3</v>
      </c>
      <c r="E18" s="12">
        <f>E17*(1+'Fane 13. Nøgletal'!$C$11)^2</f>
        <v>0</v>
      </c>
      <c r="F18" s="13"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ht="18" customHeight="1"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sheetData>
  <sheetProtection algorithmName="SHA-512" hashValue="eTLEWM8HwK4yEBUH7r1jNQCea8Jt4rT3ldQqBGVHfxgSABQxEPLGvbKHntKNdpP9izZAJkdLtaAPvIqHgUO1hQ==" saltValue="ttVP/LT9lucYbSrzjjt7zA=="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iTBWKmmH8SBKCWPrU4JlCgbIzlb5fjbSuIOlQmZr7Sc/Pids2HCogHHKJbfV/U+b1OmZi2Wzmc9Zxn6nDWDcDQ==" saltValue="mSQehPsn5DuTNy77hv3Mlg=="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QjqYEcwZ92W4fhgPYOIXv9WqKWQhSqxcckdl0NfIPlPZw6L2UZmg+ElHsMzkJpbznzaP0b4/y8hfpbrQ7bg5w==" saltValue="/bRq+k//eBgndjwFXZWvv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4">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5P1SvMCV7d+sCZ4oZ/L6m9bgLX1Skt3C9KDiChtHg+MR7tlb8as7pl+gq+7uirbvBuIwO7INjhlWXp5UMJEn0w==" saltValue="yjeA5NdetLeR6DYjS70Cd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48142033.847733103</v>
      </c>
      <c r="D9" s="8" t="s">
        <v>3</v>
      </c>
      <c r="E9" s="1"/>
    </row>
    <row r="10" spans="1:5" ht="17.100000000000001" customHeight="1" x14ac:dyDescent="0.25">
      <c r="A10" s="1"/>
      <c r="B10" s="24" t="s">
        <v>32</v>
      </c>
      <c r="C10" s="7">
        <f>'Fane 10.1. Varige tillæg'!C17</f>
        <v>1084089.0829</v>
      </c>
      <c r="D10" s="8" t="s">
        <v>3</v>
      </c>
      <c r="E10" s="1"/>
    </row>
    <row r="11" spans="1:5" ht="17.100000000000001" customHeight="1" x14ac:dyDescent="0.25">
      <c r="A11" s="1"/>
      <c r="B11" s="24" t="s">
        <v>33</v>
      </c>
      <c r="C11" s="9">
        <f>'Fane 10.1. Varige tillæg'!E17</f>
        <v>52501.413099999998</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3267172.7939895047</v>
      </c>
      <c r="D16" s="8" t="s">
        <v>3</v>
      </c>
      <c r="E16" s="1"/>
    </row>
    <row r="17" spans="1:5" ht="17.100000000000001" customHeight="1" x14ac:dyDescent="0.25">
      <c r="A17" s="1"/>
      <c r="B17" s="24" t="s">
        <v>9</v>
      </c>
      <c r="C17" s="9">
        <f>-SUM(C9:C16)*'Fane 5. Individuelt eff. krav'!C9</f>
        <v>-1050915.9427544521</v>
      </c>
      <c r="D17" s="8" t="s">
        <v>3</v>
      </c>
      <c r="E17" s="1"/>
    </row>
    <row r="18" spans="1:5" ht="17.100000000000001" customHeight="1" x14ac:dyDescent="0.25">
      <c r="A18" s="1"/>
      <c r="B18" s="24" t="s">
        <v>21</v>
      </c>
      <c r="C18" s="9">
        <f>-'Fane 4.1. Gen. krav - drift'!C17</f>
        <v>-539755.00658205873</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50955126.18838609</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29384493.872446202</v>
      </c>
      <c r="D22" s="11" t="s">
        <v>3</v>
      </c>
      <c r="E22" s="1"/>
    </row>
    <row r="23" spans="1:5" ht="15" customHeight="1" x14ac:dyDescent="0.25">
      <c r="A23" s="1"/>
      <c r="B23" s="52" t="s">
        <v>39</v>
      </c>
      <c r="C23" s="53"/>
      <c r="D23" s="19"/>
      <c r="E23" s="1"/>
    </row>
    <row r="24" spans="1:5" ht="15" customHeight="1" x14ac:dyDescent="0.25">
      <c r="A24" s="1"/>
      <c r="B24" s="24" t="s">
        <v>35</v>
      </c>
      <c r="C24" s="9">
        <f>'Fane 10.2. Engangstillæg'!C18</f>
        <v>8905853.0186578594</v>
      </c>
      <c r="D24" s="8" t="s">
        <v>3</v>
      </c>
      <c r="E24" s="1"/>
    </row>
    <row r="25" spans="1:5" ht="15" customHeight="1" x14ac:dyDescent="0.25">
      <c r="A25" s="1"/>
      <c r="B25" s="24" t="s">
        <v>36</v>
      </c>
      <c r="C25" s="9">
        <f>'Fane 10.2. Engangstillæg'!E18</f>
        <v>0</v>
      </c>
      <c r="D25" s="8" t="s">
        <v>3</v>
      </c>
      <c r="E25" s="1"/>
    </row>
    <row r="26" spans="1:5" ht="15" customHeight="1" x14ac:dyDescent="0.25">
      <c r="A26" s="1"/>
      <c r="B26" s="24" t="s">
        <v>79</v>
      </c>
      <c r="C26" s="9">
        <f>-C24*('Fane 13. Nøgletal'!C23+'Fane 5. Individuelt eff. krav'!C9)</f>
        <v>-356234.12074631441</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8549618.8979115449</v>
      </c>
      <c r="D28" s="11" t="s">
        <v>3</v>
      </c>
      <c r="E28" s="1"/>
    </row>
    <row r="29" spans="1:5" ht="15" customHeight="1" x14ac:dyDescent="0.25">
      <c r="A29" s="1"/>
      <c r="B29" s="25" t="s">
        <v>65</v>
      </c>
      <c r="C29" s="53"/>
      <c r="D29" s="19"/>
      <c r="E29" s="1"/>
    </row>
    <row r="30" spans="1:5" x14ac:dyDescent="0.25">
      <c r="A30" s="1"/>
      <c r="B30" s="58" t="s">
        <v>66</v>
      </c>
      <c r="C30" s="10">
        <f>'Fane 7. Kontrol af ØR2023'!C30</f>
        <v>-1689117.8701844066</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87200121.088559434</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TDo3wum91n8Z6IL4C+wBfqax/VRPvK/XNoEygcCiaZB51N8ywIyVR8wpc4HMeRm7KVFs3C0ssFQ6iM35fj8Fg==" saltValue="qfiTDjRdCApb4rJRKKagS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50955126.18838609</v>
      </c>
      <c r="D9" s="8" t="s">
        <v>3</v>
      </c>
      <c r="E9" s="1"/>
    </row>
    <row r="10" spans="1:5" ht="15" customHeight="1" x14ac:dyDescent="0.25">
      <c r="A10" s="1"/>
      <c r="B10" s="47" t="s">
        <v>17</v>
      </c>
      <c r="C10" s="41">
        <f>C9*'Fane 13. Nøgletal'!C11</f>
        <v>3378324.8662899975</v>
      </c>
      <c r="D10" s="8" t="s">
        <v>3</v>
      </c>
      <c r="E10" s="1"/>
    </row>
    <row r="11" spans="1:5" ht="15" customHeight="1" x14ac:dyDescent="0.25">
      <c r="A11" s="1"/>
      <c r="B11" s="47" t="s">
        <v>9</v>
      </c>
      <c r="C11" s="9">
        <f>-SUM(C9:C10)*'Fane 5. Individuelt eff. krav'!C9</f>
        <v>-1086669.0210935217</v>
      </c>
      <c r="D11" s="8" t="s">
        <v>3</v>
      </c>
      <c r="E11" s="1"/>
    </row>
    <row r="12" spans="1:5" ht="15" customHeight="1" x14ac:dyDescent="0.25">
      <c r="A12" s="1"/>
      <c r="B12" s="47" t="s">
        <v>21</v>
      </c>
      <c r="C12" s="9">
        <f>-'Fane 4.1. Gen. krav - drift'!C22</f>
        <v>-564029.94824808021</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52682752.08533448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31332685.816189386</v>
      </c>
      <c r="D16" s="11" t="s">
        <v>3</v>
      </c>
      <c r="E16" s="1"/>
    </row>
    <row r="17" spans="1:5" x14ac:dyDescent="0.25">
      <c r="A17" s="1"/>
      <c r="B17" s="25" t="s">
        <v>65</v>
      </c>
      <c r="C17" s="53"/>
      <c r="D17" s="19"/>
      <c r="E17" s="1"/>
    </row>
    <row r="18" spans="1:5" ht="15" customHeight="1" x14ac:dyDescent="0.25">
      <c r="A18" s="1"/>
      <c r="B18" s="45" t="s">
        <v>66</v>
      </c>
      <c r="C18" s="10">
        <f>'Fane 7. Kontrol af ØR2023'!C30</f>
        <v>-1689117.8701844066</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82326320.031339452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veFVYNc3WLEO15bQp6Nb+jtEGdEqEro96dV441z/ZYUWGgSFPchTgYTvprLE299/w4pmcDrYFI06oKsV8t7oQ==" saltValue="sF6pb4RaDY+eKsiTzyx2Y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52682752.08533448</v>
      </c>
      <c r="D9" s="8" t="s">
        <v>3</v>
      </c>
      <c r="E9" s="1"/>
    </row>
    <row r="10" spans="1:5" ht="15" customHeight="1" x14ac:dyDescent="0.25">
      <c r="A10" s="1"/>
      <c r="B10" s="47" t="s">
        <v>17</v>
      </c>
      <c r="C10" s="41">
        <f>C9*'Fane 13. Nøgletal'!C11</f>
        <v>3492866.463257676</v>
      </c>
      <c r="D10" s="8" t="s">
        <v>3</v>
      </c>
      <c r="E10" s="1"/>
    </row>
    <row r="11" spans="1:5" ht="15" customHeight="1" x14ac:dyDescent="0.25">
      <c r="A11" s="1"/>
      <c r="B11" s="47" t="s">
        <v>9</v>
      </c>
      <c r="C11" s="9">
        <f>-SUM(C9:C10)*'Fane 5. Individuelt eff. krav'!C9</f>
        <v>-1123512.3709718431</v>
      </c>
      <c r="D11" s="8" t="s">
        <v>3</v>
      </c>
      <c r="E11" s="1"/>
    </row>
    <row r="12" spans="1:5" ht="15" customHeight="1" x14ac:dyDescent="0.25">
      <c r="A12" s="1"/>
      <c r="B12" s="47" t="s">
        <v>21</v>
      </c>
      <c r="C12" s="9">
        <f>-'Fane 4.1. Gen. krav - drift'!C27</f>
        <v>-589396.63114058936</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54462709.546479724</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33410042.885802742</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87872752.432282463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eFmRhpzVNz+eTdqivpivPVJRoF8DKcciKC4IkFKOmafNBkVMzLQsZZ9fHcTFRs8K/cSKJTVDVNudeIFsxJZPw==" saltValue="ReRcDQSH465rYgi+b5tjq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54462709.546479724</v>
      </c>
      <c r="D9" s="8" t="s">
        <v>3</v>
      </c>
      <c r="E9" s="1"/>
    </row>
    <row r="10" spans="1:5" ht="15" customHeight="1" x14ac:dyDescent="0.25">
      <c r="A10" s="1"/>
      <c r="B10" s="47" t="s">
        <v>17</v>
      </c>
      <c r="C10" s="9">
        <f>C9*'Fane 13. Nøgletal'!C11</f>
        <v>3610877.6429316057</v>
      </c>
      <c r="D10" s="8" t="s">
        <v>3</v>
      </c>
      <c r="E10" s="1"/>
    </row>
    <row r="11" spans="1:5" ht="15" customHeight="1" x14ac:dyDescent="0.25">
      <c r="A11" s="1"/>
      <c r="B11" s="47" t="s">
        <v>9</v>
      </c>
      <c r="C11" s="9">
        <f>-SUM(C9:C10)*'Fane 5. Individuelt eff. krav'!C9</f>
        <v>-1161471.7437882265</v>
      </c>
      <c r="D11" s="8" t="s">
        <v>3</v>
      </c>
      <c r="E11" s="1"/>
    </row>
    <row r="12" spans="1:5" ht="15" customHeight="1" x14ac:dyDescent="0.25">
      <c r="A12" s="1"/>
      <c r="B12" s="47" t="s">
        <v>21</v>
      </c>
      <c r="C12" s="9">
        <f>-'Fane 4.1. Gen. krav - drift'!C32</f>
        <v>-615904.1552295062</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56296211.290393591</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35625128.729131468</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91921340.019525051</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zPYNYvEFKX+tuDi2VDed1tesN5faQCc0TQfAloUT4EHvw/Qm7WHkioaJCXgtXNg+8ky6SnrPUBbuW4V3bQ1Rg==" saltValue="PwVws3qurH/s8gd52eYvQ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47462011.322237283</v>
      </c>
      <c r="D9" s="8" t="s">
        <v>3</v>
      </c>
      <c r="E9" s="1"/>
    </row>
    <row r="10" spans="1:5" x14ac:dyDescent="0.25">
      <c r="A10" s="1"/>
      <c r="B10" s="24" t="s">
        <v>32</v>
      </c>
      <c r="C10" s="7">
        <v>319858.43679999997</v>
      </c>
      <c r="D10" s="8" t="s">
        <v>3</v>
      </c>
      <c r="E10" s="1"/>
    </row>
    <row r="11" spans="1:5" ht="15" customHeight="1" x14ac:dyDescent="0.25">
      <c r="A11" s="1"/>
      <c r="B11" s="24" t="s">
        <v>33</v>
      </c>
      <c r="C11" s="9">
        <v>121810.4832</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1725334.4518076472</v>
      </c>
      <c r="D16" s="8" t="s">
        <v>3</v>
      </c>
      <c r="E16" s="1"/>
    </row>
    <row r="17" spans="1:5" x14ac:dyDescent="0.25">
      <c r="A17" s="1"/>
      <c r="B17" s="24" t="s">
        <v>9</v>
      </c>
      <c r="C17" s="9">
        <v>-992580.29388089862</v>
      </c>
      <c r="D17" s="8" t="s">
        <v>3</v>
      </c>
      <c r="E17" s="1"/>
    </row>
    <row r="18" spans="1:5" x14ac:dyDescent="0.25">
      <c r="A18" s="1"/>
      <c r="B18" s="24" t="s">
        <v>21</v>
      </c>
      <c r="C18" s="9">
        <v>-494400.55243093014</v>
      </c>
      <c r="D18" s="8" t="s">
        <v>3</v>
      </c>
      <c r="E18" s="1"/>
    </row>
    <row r="19" spans="1:5" x14ac:dyDescent="0.25">
      <c r="A19" s="1"/>
      <c r="B19" s="24" t="s">
        <v>22</v>
      </c>
      <c r="C19" s="9">
        <v>0</v>
      </c>
      <c r="D19" s="8" t="s">
        <v>3</v>
      </c>
      <c r="E19" s="1"/>
    </row>
    <row r="20" spans="1:5" x14ac:dyDescent="0.25">
      <c r="A20" s="1"/>
      <c r="B20" s="74" t="s">
        <v>19</v>
      </c>
      <c r="C20" s="10">
        <v>48142033.847733103</v>
      </c>
      <c r="D20" s="11" t="s">
        <v>3</v>
      </c>
      <c r="E20" s="1"/>
    </row>
    <row r="21" spans="1:5" x14ac:dyDescent="0.25">
      <c r="A21" s="1"/>
      <c r="B21" s="52" t="s">
        <v>11</v>
      </c>
      <c r="C21" s="53"/>
      <c r="D21" s="19"/>
      <c r="E21" s="1"/>
    </row>
    <row r="22" spans="1:5" x14ac:dyDescent="0.25">
      <c r="A22" s="1"/>
      <c r="B22" s="54" t="s">
        <v>11</v>
      </c>
      <c r="C22" s="10">
        <v>25596524.20558016</v>
      </c>
      <c r="D22" s="11" t="s">
        <v>3</v>
      </c>
      <c r="E22" s="1"/>
    </row>
    <row r="23" spans="1:5" x14ac:dyDescent="0.25">
      <c r="A23" s="1"/>
      <c r="B23" s="52" t="s">
        <v>39</v>
      </c>
      <c r="C23" s="53"/>
      <c r="D23" s="19"/>
      <c r="E23" s="1"/>
    </row>
    <row r="24" spans="1:5" ht="15" customHeight="1" x14ac:dyDescent="0.25">
      <c r="A24" s="1"/>
      <c r="B24" s="24" t="s">
        <v>35</v>
      </c>
      <c r="C24" s="9">
        <v>914463.6651807999</v>
      </c>
      <c r="D24" s="8" t="s">
        <v>3</v>
      </c>
      <c r="E24" s="1"/>
    </row>
    <row r="25" spans="1:5" ht="14.25" customHeight="1" x14ac:dyDescent="0.25">
      <c r="A25" s="1"/>
      <c r="B25" s="24" t="s">
        <v>36</v>
      </c>
      <c r="C25" s="9">
        <v>0</v>
      </c>
      <c r="D25" s="8" t="s">
        <v>3</v>
      </c>
      <c r="E25" s="1"/>
    </row>
    <row r="26" spans="1:5" ht="14.25" customHeight="1" x14ac:dyDescent="0.25">
      <c r="A26" s="1"/>
      <c r="B26" s="24" t="s">
        <v>79</v>
      </c>
      <c r="C26" s="9">
        <v>-36578.546607231998</v>
      </c>
      <c r="D26" s="8" t="s">
        <v>3</v>
      </c>
      <c r="E26" s="1"/>
    </row>
    <row r="27" spans="1:5" ht="14.25" customHeight="1" x14ac:dyDescent="0.25">
      <c r="A27" s="1"/>
      <c r="B27" s="24" t="s">
        <v>80</v>
      </c>
      <c r="C27" s="9">
        <v>0</v>
      </c>
      <c r="D27" s="8" t="s">
        <v>3</v>
      </c>
      <c r="E27" s="1"/>
    </row>
    <row r="28" spans="1:5" ht="14.25" customHeight="1" x14ac:dyDescent="0.25">
      <c r="A28" s="1"/>
      <c r="B28" s="74" t="s">
        <v>40</v>
      </c>
      <c r="C28" s="63">
        <v>877885.11857356795</v>
      </c>
      <c r="D28" s="11" t="s">
        <v>3</v>
      </c>
      <c r="E28" s="1"/>
    </row>
    <row r="29" spans="1:5" x14ac:dyDescent="0.25">
      <c r="A29" s="1"/>
      <c r="B29" s="25" t="s">
        <v>65</v>
      </c>
      <c r="C29" s="53"/>
      <c r="D29" s="19"/>
      <c r="E29" s="1"/>
    </row>
    <row r="30" spans="1:5" x14ac:dyDescent="0.25">
      <c r="A30" s="1"/>
      <c r="B30" s="58" t="s">
        <v>66</v>
      </c>
      <c r="C30" s="10">
        <v>-1972610.4104830548</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72643832.761403769</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ArLZkPNrRI+/4jrNM3gAfW/6cZHRzmggdhLNl+RbmIo8cwoOtKw6gQTZVqaq/lWd/SypRJ1Y+o9aPTa4Q6pqg==" saltValue="ZoAbwOzwyop8ErV41xC1nw=="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32"/>
      <c r="D7" s="1"/>
      <c r="E7" s="1"/>
    </row>
    <row r="8" spans="1:5" x14ac:dyDescent="0.25">
      <c r="A8" s="1"/>
      <c r="B8" s="98" t="s">
        <v>75</v>
      </c>
      <c r="C8" s="99"/>
      <c r="D8" s="100"/>
      <c r="E8" s="1"/>
    </row>
    <row r="9" spans="1:5" x14ac:dyDescent="0.25">
      <c r="A9" s="1"/>
      <c r="B9" s="56" t="s">
        <v>167</v>
      </c>
      <c r="C9" s="22">
        <v>24374324.619424962</v>
      </c>
      <c r="D9" s="14" t="s">
        <v>3</v>
      </c>
      <c r="E9" s="1"/>
    </row>
    <row r="10" spans="1:5" x14ac:dyDescent="0.25">
      <c r="A10" s="1"/>
      <c r="B10" s="56" t="s">
        <v>110</v>
      </c>
      <c r="C10" s="22">
        <f>('Fane 3. Omkostninger i ØR2024'!C10+'Fane 3. Omkostninger i ØR2024'!C12+'Fane 3. Omkostninger i ØR2024'!C14)*(1+'Fane 13. Nøgletal'!C10)</f>
        <v>345702.99849343998</v>
      </c>
      <c r="D10" s="14" t="s">
        <v>3</v>
      </c>
      <c r="E10" s="1"/>
    </row>
    <row r="11" spans="1:5" x14ac:dyDescent="0.25">
      <c r="A11" s="1"/>
      <c r="B11" s="56" t="s">
        <v>81</v>
      </c>
      <c r="C11" s="22">
        <f>C9*'Fane 13. Nøgletal'!C23+C10*'Fane 13. Nøgletal'!C23</f>
        <v>494400.55235836806</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25831786.140006665</v>
      </c>
      <c r="D15" s="14" t="s">
        <v>3</v>
      </c>
      <c r="E15" s="1"/>
    </row>
    <row r="16" spans="1:5" x14ac:dyDescent="0.25">
      <c r="A16" s="1"/>
      <c r="B16" s="56" t="s">
        <v>154</v>
      </c>
      <c r="C16" s="22">
        <f>('Fane 2.1. Økonomisk ramme 2025'!C10+'Fane 2.1. Økonomisk ramme 2025'!C12+'Fane 2.1. Økonomisk ramme 2025'!C14)*(1+'Fane 13. Nøgletal'!C11)</f>
        <v>1155964.1890962701</v>
      </c>
      <c r="D16" s="14" t="s">
        <v>3</v>
      </c>
      <c r="E16" s="1"/>
    </row>
    <row r="17" spans="1:5" x14ac:dyDescent="0.25">
      <c r="A17" s="1"/>
      <c r="B17" s="56" t="s">
        <v>155</v>
      </c>
      <c r="C17" s="22">
        <f>(C15+C16)*'Fane 13. Nøgletal'!C23</f>
        <v>539755.00658205873</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28201497.412404008</v>
      </c>
      <c r="D21" s="14" t="s">
        <v>3</v>
      </c>
      <c r="E21" s="1"/>
    </row>
    <row r="22" spans="1:5" x14ac:dyDescent="0.25">
      <c r="A22" s="1"/>
      <c r="B22" s="56" t="s">
        <v>171</v>
      </c>
      <c r="C22" s="48">
        <f>(C21)*'Fane 13. Nøgletal'!C23</f>
        <v>564029.94824808021</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29469831.557029467</v>
      </c>
      <c r="D26" s="14" t="s">
        <v>3</v>
      </c>
      <c r="E26" s="1"/>
    </row>
    <row r="27" spans="1:5" x14ac:dyDescent="0.25">
      <c r="A27" s="1"/>
      <c r="B27" s="56" t="s">
        <v>118</v>
      </c>
      <c r="C27" s="48">
        <f>(C26)*'Fane 13. Nøgletal'!C23</f>
        <v>589396.63114058936</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30795207.76147531</v>
      </c>
      <c r="D31" s="14" t="s">
        <v>3</v>
      </c>
      <c r="E31" s="1"/>
    </row>
    <row r="32" spans="1:5" x14ac:dyDescent="0.25">
      <c r="A32" s="1"/>
      <c r="B32" s="56" t="s">
        <v>138</v>
      </c>
      <c r="C32" s="48">
        <f>(C31)*'Fane 13. Nøgletal'!C23</f>
        <v>615904.1552295062</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fJEV93KR/PhH6w+GMIbD+PIuQCatJalmgvaNl8inZ5zmNj2BAInCySpMVZsGbB1xCSVITdxGrPK9j+hS2gpa6A==" saltValue="ug+vP54lR39Ufp/w47Tjq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27473252.800986838</v>
      </c>
      <c r="D9" s="14" t="s">
        <v>3</v>
      </c>
      <c r="E9" s="1"/>
    </row>
    <row r="10" spans="1:5" x14ac:dyDescent="0.25">
      <c r="A10" s="1"/>
      <c r="B10" s="56" t="s">
        <v>113</v>
      </c>
      <c r="C10" s="48">
        <f>('Fane 3. Omkostninger i ØR2024'!C11+'Fane 3. Omkostninger i ØR2024'!C13+'Fane 3. Omkostninger i ØR2024'!C15)*(1+'Fane 13. Nøgletal'!C10)</f>
        <v>131652.77024256001</v>
      </c>
      <c r="D10" s="14" t="s">
        <v>3</v>
      </c>
      <c r="E10" s="1"/>
    </row>
    <row r="11" spans="1:5" x14ac:dyDescent="0.25">
      <c r="A11" s="1"/>
      <c r="B11" s="56" t="s">
        <v>114</v>
      </c>
      <c r="C11" s="48">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29435110.810601909</v>
      </c>
      <c r="D15" s="14" t="s">
        <v>3</v>
      </c>
      <c r="E15" s="1"/>
    </row>
    <row r="16" spans="1:5" x14ac:dyDescent="0.25">
      <c r="A16" s="1"/>
      <c r="B16" s="56" t="s">
        <v>157</v>
      </c>
      <c r="C16" s="48">
        <f>('Fane 2.1. Økonomisk ramme 2025'!C11+'Fane 2.1. Økonomisk ramme 2025'!C13+'Fane 2.1. Økonomisk ramme 2025'!C15)*(1+'Fane 13. Nøgletal'!C11)</f>
        <v>55982.256788530001</v>
      </c>
      <c r="D16" s="14" t="s">
        <v>3</v>
      </c>
      <c r="E16" s="1"/>
    </row>
    <row r="17" spans="1:5" x14ac:dyDescent="0.25">
      <c r="A17" s="1"/>
      <c r="B17" s="56" t="s">
        <v>158</v>
      </c>
      <c r="C17" s="48">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31446352.537758425</v>
      </c>
      <c r="D21" s="14" t="s">
        <v>3</v>
      </c>
      <c r="E21" s="1"/>
    </row>
    <row r="22" spans="1:5" x14ac:dyDescent="0.25">
      <c r="A22" s="1"/>
      <c r="B22" s="56" t="s">
        <v>165</v>
      </c>
      <c r="C22" s="48">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33531245.711011808</v>
      </c>
      <c r="D26" s="14" t="s">
        <v>3</v>
      </c>
      <c r="E26" s="1"/>
    </row>
    <row r="27" spans="1:5" x14ac:dyDescent="0.25">
      <c r="A27" s="1"/>
      <c r="B27" s="56" t="s">
        <v>121</v>
      </c>
      <c r="C27" s="48">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35754367.301651895</v>
      </c>
      <c r="D31" s="14" t="s">
        <v>3</v>
      </c>
      <c r="E31" s="1"/>
    </row>
    <row r="32" spans="1:5" x14ac:dyDescent="0.25">
      <c r="A32" s="1"/>
      <c r="B32" s="56" t="s">
        <v>141</v>
      </c>
      <c r="C32" s="48">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MMKQIPgotcFWr+TyN98LwXgbhA8/xQnKoIi/fXbPQOJYuXYpvzEgCL5GGnIB+HUHpMBcwSArr0Dm8qQYUoOKQ==" saltValue="pFZ2aIKqQwWP8IIc9aPW5w=="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0.02</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qSb2viQLz0Y/3ZQEx+ypDA+Pzf7hSLadz8akh+iSTgWn36JGk5GE8h5knfp14LKfejWpgDxy/4WWDcGfDEaHHg==" saltValue="7iR5X/xDQJGC0H+YSOq3+w=="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2024-10-10T12:03:38Z</dcterms:modified>
</cp:coreProperties>
</file>