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kive Vand AS (V167)\ØR2024\"/>
    </mc:Choice>
  </mc:AlternateContent>
  <xr:revisionPtr revIDLastSave="0" documentId="13_ncr:1_{43AD7DE4-2FB1-4C6D-925E-3EBCDCD5358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3"/>
  <c r="E31" i="43" s="1"/>
  <c r="E33" i="43" s="1"/>
  <c r="C17" i="15" s="1"/>
  <c r="C17" i="22" l="1"/>
  <c r="E27" i="43"/>
  <c r="C8" i="2" l="1"/>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<sst xmlns="http://schemas.openxmlformats.org/spreadsheetml/2006/main" count="554" uniqueCount="267">
  <si>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</si>
  <si>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</si>
  <si>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</si>
  <si>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</si>
  <si>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</si>
  <si>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</si>
  <si>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</si>
  <si>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</si>
  <si>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</si>
  <si>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</si>
  <si>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</si>
  <si>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</si>
  <si>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</si>
  <si>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</si>
  <si>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</si>
  <si>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</si>
  <si>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</si>
  <si>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</si>
  <si>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</si>
  <si>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</si>
  <si>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</si>
  <si>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</si>
  <si>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</si>
  <si>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</si>
  <si>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</si>
  <si>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</si>
  <si>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</si>
  <si>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</si>
  <si>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</si>
  <si>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</si>
  <si>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</si>
  <si>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</si>
  <si>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</si>
  <si>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</si>
  <si>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</si>
  <si>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</si>
  <si>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</si>
  <si>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</si>
  <si>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</si>
  <si>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</si>
  <si>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</si>
  <si>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</si>
  <si>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</si>
  <si>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</si>
  <si>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</si>
  <si>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</si>
  <si>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</si>
  <si>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</si>
  <si>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</si>
  <si>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</si>
  <si>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</si>
  <si>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</si>
  <si>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</si>
  <si>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</si>
  <si>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</si>
  <si>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</si>
  <si>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</si>
  <si>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</si>
  <si>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</si>
  <si>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</si>
  <si>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</si>
  <si>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</si>
  <si>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</si>
  <si>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</si>
  <si>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</si>
  <si>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</si>
  <si>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</si>
  <si>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</si>
  <si>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</si>
  <si>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</si>
  <si>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</si>
  <si>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</si>
  <si>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</si>
  <si>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</si>
  <si>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</si>
  <si>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</si>
  <si>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</si>
  <si>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</si>
  <si>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</si>
  <si>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</si>
  <si>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</si>
  <si>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</si>
  <si>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</si>
  <si>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</si>
  <si>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</si>
  <si>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</si>
  <si>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</si>
  <si>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</si>
  <si>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</si>
  <si>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</si>
  <si>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</si>
  <si>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</si>
  <si>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</si>
  <si>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</si>
  <si>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</si>
  <si>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</si>
  <si>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</si>
  <si>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</si>
  <si>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</si>
  <si>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</si>
  <si>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</si>
  <si>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</si>
  <si>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</si>
  <si>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</si>
  <si>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</si>
  <si>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</si>
  <si>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</si>
  <si>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</si>
  <si>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</si>
  <si>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</si>
  <si>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</si>
  <si>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</si>
  <si>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</si>
  <si>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</si>
  <si>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</si>
  <si>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</si>
  <si>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</si>
  <si>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</si>
  <si>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</si>
  <si>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</si>
  <si>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</si>
  <si>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</si>
  <si>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</si>
  <si>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</si>
  <si>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</si>
  <si>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</si>
  <si>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</si>
  <si>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</si>
  <si>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</si>
  <si>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</si>
  <si>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</si>
  <si>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</si>
  <si>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</si>
  <si>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</si>
  <si>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</si>
  <si>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</si>
  <si>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</si>
  <si>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</si>
  <si>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</si>
  <si>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</si>
  <si>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</si>
  <si>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</si>
  <si>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</si>
  <si>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</si>
  <si>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</si>
  <si>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</si>
  <si>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</si>
  <si>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</si>
  <si>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</si>
  <si>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</si>
  <si>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</si>
  <si>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</si>
  <si>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</si>
  <si>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</si>
  <si>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</si>
  <si>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</si>
  <si>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</si>
  <si>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</si>
  <si>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</si>
  <si>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</si>
  <si>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</si>
  <si>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</si>
  <si>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</si>
  <si>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</si>
  <si>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</si>
  <si>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</si>
  <si>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</si>
  <si>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</si>
  <si>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</si>
  <si>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</si>
  <si>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</si>
  <si>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</si>
  <si>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</si>
  <si>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</si>
  <si>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</si>
  <si>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</si>
  <si>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</si>
  <si>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</si>
  <si>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</si>
  <si>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</si>
  <si>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</si>
  <si>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</si>
  <si>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</si>
  <si>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</si>
  <si>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</si>
  <si>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</si>
  <si>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</si>
  <si>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</si>
  <si>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</si>
  <si>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</si>
  <si>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</si>
  <si>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</si>
  <si>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</si>
  <si>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</si>
  <si>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</si>
  <si>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</si>
  <si>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</si>
  <si>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</si>
  <si>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</si>
  <si>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</si>
  <si>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</si>
  <si>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</si>
  <si>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</si>
  <si>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</si>
  <si>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</si>
  <si>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</si>
  <si>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</si>
  <si>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</si>
  <si>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</si>
  <si>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</si>
  <si>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</si>
  <si>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</si>
  <si>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</si>
  <si>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</si>
  <si>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</si>
  <si>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</si>
  <si>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</si>
  <si>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</si>
  <si>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</si>
  <si>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</si>
  <si>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</si>
  <si>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</si>
  <si>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</si>
  <si>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</si>
  <si>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</si>
  <si>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</si>
  <si>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</si>
  <si>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</si>
  <si>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</si>
  <si>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</si>
  <si>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</si>
  <si>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</si>
  <si>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</si>
  <si>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</si>
  <si>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</si>
  <si>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</si>
  <si>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</si>
  <si>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</si>
  <si>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</si>
  <si>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</si>
  <si>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</si>
  <si>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</si>
  <si>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</si>
  <si>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190204 Nye stiktilslutninger 2022</t>
  </si>
  <si>
    <t>196039 Vihøj-Thise ledning</t>
  </si>
  <si>
    <t>196040 - Energiparken, 7800 Skive</t>
  </si>
  <si>
    <t>196041 - Gammel Haldvej, 7840 Højslev</t>
  </si>
  <si>
    <t>196042 Vejby Vand - overtagelse</t>
  </si>
  <si>
    <t>Ingen engangstillæg</t>
  </si>
  <si>
    <t>Afgift for ledningsført vand</t>
  </si>
  <si>
    <t>Afgift til Forsyningssekretariatet</t>
  </si>
  <si>
    <t>Køb af ydelser og produkter fra andre vandselskaber reguleret af vandsektorloven</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</si>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</sst>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Dsf5raCeXLzfx0ewdtk12HnupK7wf+1Mg91GKfyYsYQMvW1JPXR5HhPbTsseWGdv9KYOSiSK8+EHVdhht25FUA==" saltValue="gv9Spz75pjZeV74HA9I5d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249</v>
      </c>
      <c r="C10" s="9">
        <v>16398548</v>
      </c>
      <c r="D10" s="14" t="s">
        <v>3</v>
      </c>
      <c r="E10" s="1"/>
      <c r="F10" s="1"/>
    </row>
    <row r="11" spans="1:6" x14ac:dyDescent="0.25">
      <c r="A11" s="1"/>
      <c r="B11" s="71" t="s">
        <v>250</v>
      </c>
      <c r="C11" s="9">
        <v>93325</v>
      </c>
      <c r="D11" s="14" t="s">
        <v>3</v>
      </c>
      <c r="E11" s="1"/>
      <c r="F11" s="1"/>
    </row>
    <row r="12" spans="1:6" ht="26.25" x14ac:dyDescent="0.25">
      <c r="A12" s="1"/>
      <c r="B12" s="55" t="s">
        <v>251</v>
      </c>
      <c r="C12" s="9">
        <v>60557</v>
      </c>
      <c r="D12" s="14" t="s">
        <v>3</v>
      </c>
      <c r="E12" s="1"/>
      <c r="F12" s="1"/>
    </row>
    <row r="13" spans="1:6" x14ac:dyDescent="0.25">
      <c r="A13" s="1"/>
      <c r="B13" s="71" t="s">
        <v>252</v>
      </c>
      <c r="C13" s="9">
        <v>20693</v>
      </c>
      <c r="D13" s="14" t="s">
        <v>3</v>
      </c>
      <c r="E13" s="1"/>
      <c r="F13" s="1"/>
    </row>
    <row r="14" spans="1:6" x14ac:dyDescent="0.25">
      <c r="A14" s="1"/>
      <c r="B14" s="71" t="s">
        <v>253</v>
      </c>
      <c r="C14" s="9">
        <v>839</v>
      </c>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2" t="s">
        <v>213</v>
      </c>
      <c r="C19" s="12">
        <f>SUM(C10:C18)</f>
        <v>16573962</v>
      </c>
      <c r="D19" s="13" t="s">
        <v>3</v>
      </c>
      <c r="E19" s="1"/>
      <c r="F19" s="1"/>
    </row>
    <row r="20" spans="1:6" x14ac:dyDescent="0.25">
      <c r="A20" s="1"/>
      <c r="B20" s="52" t="s">
        <v>214</v>
      </c>
      <c r="C20" s="12">
        <f>C19*(1+'Fane 13. Nøgletal'!C16)^2</f>
        <v>19360519.690471679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AjCcqU0SmXifnjAgqBfprWcnq80uh32bNckDMG8pWxrXDRPlD9s1rKStBZgMuVwgfWS4J4zvJp/PEviO2g8I1g==" saltValue="yc+H7+Hoieh09i6BKhnfn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2038-751A-4A41-9821-68E71A588AF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7" t="s">
        <v>254</v>
      </c>
      <c r="C8" s="108"/>
      <c r="D8" s="108"/>
      <c r="E8" s="108"/>
      <c r="F8" s="109"/>
      <c r="G8" s="1"/>
    </row>
    <row r="9" spans="1:7" x14ac:dyDescent="0.25">
      <c r="A9" s="1"/>
      <c r="B9" s="101" t="s">
        <v>255</v>
      </c>
      <c r="C9" s="102"/>
      <c r="D9" s="103"/>
      <c r="E9" s="28">
        <v>1964059</v>
      </c>
      <c r="F9" s="14" t="s">
        <v>3</v>
      </c>
      <c r="G9" s="1"/>
    </row>
    <row r="10" spans="1:7" x14ac:dyDescent="0.25">
      <c r="A10" s="1"/>
      <c r="B10" s="52"/>
      <c r="C10" s="53"/>
      <c r="D10" s="53"/>
      <c r="E10" s="53"/>
      <c r="F10" s="19"/>
      <c r="G10" s="1"/>
    </row>
    <row r="11" spans="1:7" ht="53.25" customHeight="1" x14ac:dyDescent="0.25">
      <c r="A11" s="1"/>
      <c r="B11" s="119" t="s">
        <v>256</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257</v>
      </c>
      <c r="C14" s="102"/>
      <c r="D14" s="103"/>
      <c r="E14" s="9">
        <v>0</v>
      </c>
      <c r="F14" s="14" t="s">
        <v>3</v>
      </c>
      <c r="G14" s="1"/>
    </row>
    <row r="15" spans="1:7" x14ac:dyDescent="0.25">
      <c r="A15" s="1"/>
      <c r="B15" s="101" t="s">
        <v>258</v>
      </c>
      <c r="C15" s="102"/>
      <c r="D15" s="103"/>
      <c r="E15" s="9">
        <v>0</v>
      </c>
      <c r="F15" s="14" t="s">
        <v>3</v>
      </c>
      <c r="G15" s="1"/>
    </row>
    <row r="16" spans="1:7" x14ac:dyDescent="0.25">
      <c r="A16" s="1"/>
      <c r="B16" s="52"/>
      <c r="C16" s="53"/>
      <c r="D16" s="53"/>
      <c r="E16" s="53"/>
      <c r="F16" s="19"/>
      <c r="G16" s="1"/>
    </row>
    <row r="17" spans="1:7" ht="32.25" customHeight="1" x14ac:dyDescent="0.25">
      <c r="A17" s="1"/>
      <c r="B17" s="119" t="s">
        <v>259</v>
      </c>
      <c r="C17" s="120"/>
      <c r="D17" s="120"/>
      <c r="E17" s="120"/>
      <c r="F17" s="121"/>
      <c r="G17" s="1"/>
    </row>
    <row r="18" spans="1:7" x14ac:dyDescent="0.25">
      <c r="A18" s="1"/>
      <c r="B18" s="1"/>
      <c r="C18" s="1"/>
      <c r="D18" s="1"/>
      <c r="E18" s="1"/>
      <c r="F18" s="1"/>
      <c r="G18" s="1"/>
    </row>
    <row r="19" spans="1:7" x14ac:dyDescent="0.25">
      <c r="A19" s="1"/>
      <c r="B19" s="65" t="s">
        <v>260</v>
      </c>
      <c r="C19" s="66"/>
      <c r="D19" s="66"/>
      <c r="E19" s="66"/>
      <c r="F19" s="67"/>
      <c r="G19" s="1"/>
    </row>
    <row r="20" spans="1:7" x14ac:dyDescent="0.25">
      <c r="A20" s="1"/>
      <c r="B20" s="68" t="s">
        <v>261</v>
      </c>
      <c r="C20" s="69"/>
      <c r="D20" s="70"/>
      <c r="E20" s="9">
        <v>40417402</v>
      </c>
      <c r="F20" s="14" t="s">
        <v>3</v>
      </c>
      <c r="G20" s="1"/>
    </row>
    <row r="21" spans="1:7" x14ac:dyDescent="0.25">
      <c r="A21" s="1"/>
      <c r="B21" s="68" t="s">
        <v>262</v>
      </c>
      <c r="C21" s="69"/>
      <c r="D21" s="70"/>
      <c r="E21" s="9">
        <v>42205636</v>
      </c>
      <c r="F21" s="14" t="s">
        <v>3</v>
      </c>
      <c r="G21" s="1"/>
    </row>
    <row r="22" spans="1:7" x14ac:dyDescent="0.25">
      <c r="A22" s="1"/>
      <c r="B22" s="68" t="s">
        <v>29</v>
      </c>
      <c r="C22" s="69"/>
      <c r="D22" s="70"/>
      <c r="E22" s="9">
        <v>0</v>
      </c>
      <c r="F22" s="14" t="s">
        <v>3</v>
      </c>
      <c r="G22" s="1"/>
    </row>
    <row r="23" spans="1:7" x14ac:dyDescent="0.25">
      <c r="A23" s="1"/>
      <c r="B23" s="73" t="s">
        <v>263</v>
      </c>
      <c r="C23" s="74"/>
      <c r="D23" s="75"/>
      <c r="E23" s="10">
        <f>E20-(E21-E22)</f>
        <v>-1788234</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264</v>
      </c>
      <c r="C26" s="108"/>
      <c r="D26" s="108"/>
      <c r="E26" s="108"/>
      <c r="F26" s="109"/>
      <c r="G26" s="1"/>
    </row>
    <row r="27" spans="1:7" x14ac:dyDescent="0.25">
      <c r="A27" s="1"/>
      <c r="B27" s="129" t="s">
        <v>265</v>
      </c>
      <c r="C27" s="130"/>
      <c r="D27" s="131"/>
      <c r="E27" s="62">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266</v>
      </c>
      <c r="C30" s="108"/>
      <c r="D30" s="108"/>
      <c r="E30" s="108"/>
      <c r="F30" s="109"/>
      <c r="G30" s="1"/>
    </row>
    <row r="31" spans="1:7" x14ac:dyDescent="0.25">
      <c r="A31" s="1"/>
      <c r="B31" s="122" t="s">
        <v>117</v>
      </c>
      <c r="C31" s="123"/>
      <c r="D31" s="124"/>
      <c r="E31" s="63">
        <f>IF(AND(E9&gt;0,(E9+E23)&gt;0),0,IF(AND(E9&gt;0,(E9+E23)&lt;0),(E9+E23),IF(AND(E9&lt;0,E23&lt;0),E23,0)))</f>
        <v>0</v>
      </c>
      <c r="F31" s="14" t="s">
        <v>3</v>
      </c>
      <c r="G31" s="1"/>
    </row>
    <row r="32" spans="1:7" x14ac:dyDescent="0.25">
      <c r="A32" s="1"/>
      <c r="B32" s="122" t="s">
        <v>85</v>
      </c>
      <c r="C32" s="123"/>
      <c r="D32" s="124"/>
      <c r="E32" s="9">
        <v>2</v>
      </c>
      <c r="F32" s="14" t="s">
        <v>18</v>
      </c>
      <c r="G32" s="1"/>
    </row>
    <row r="33" spans="1:7" x14ac:dyDescent="0.25">
      <c r="A33" s="1"/>
      <c r="B33" s="125" t="s">
        <v>116</v>
      </c>
      <c r="C33" s="125"/>
      <c r="D33" s="125"/>
      <c r="E33" s="62">
        <f>E31/E32</f>
        <v>0</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iJWiNQDx3AfHnMW2arldxXwQAbDnmlndWlwNMDUrlOPaJ3+6jiD+GmsmdPq4/ld1GBJ6Ab1e/f8Pa9UCEJAVA==" saltValue="xQQsnSKCKlllzvswXcjw4g=="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SINJ62ZSr90uldBdgHrbPkWmazgYdn9j7CFXPgFw634hxM2dotYHfnXswu1xbLlTcDXCXeW+ili+xm21UDZxg==" saltValue="xMCczckl+PO560y/TfEbL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r8ol4o/xW59u8XMx4Qr2iAOOD98kPjxZzEkuoF8PqpXWZmqxk1pFU332W/4TmLSZhulQ9p/7vJ0BTlD27JetYw==" saltValue="eE4qjKleUVXTHumsRPe/d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0</v>
      </c>
      <c r="D11" s="14" t="s">
        <v>3</v>
      </c>
      <c r="E11" s="9">
        <v>667</v>
      </c>
      <c r="F11" s="14" t="s">
        <v>3</v>
      </c>
      <c r="G11" s="1"/>
    </row>
    <row r="12" spans="1:7" x14ac:dyDescent="0.25">
      <c r="A12" s="1"/>
      <c r="B12" s="27" t="s">
        <v>244</v>
      </c>
      <c r="C12" s="21">
        <v>14111</v>
      </c>
      <c r="D12" s="14" t="s">
        <v>3</v>
      </c>
      <c r="E12" s="9">
        <v>54132</v>
      </c>
      <c r="F12" s="14" t="s">
        <v>3</v>
      </c>
      <c r="G12" s="1"/>
    </row>
    <row r="13" spans="1:7" x14ac:dyDescent="0.25">
      <c r="A13" s="1"/>
      <c r="B13" s="27" t="s">
        <v>245</v>
      </c>
      <c r="C13" s="21">
        <v>1190</v>
      </c>
      <c r="D13" s="14" t="s">
        <v>3</v>
      </c>
      <c r="E13" s="9">
        <v>2191</v>
      </c>
      <c r="F13" s="14" t="s">
        <v>3</v>
      </c>
      <c r="G13" s="1"/>
    </row>
    <row r="14" spans="1:7" x14ac:dyDescent="0.25">
      <c r="A14" s="1"/>
      <c r="B14" s="27" t="s">
        <v>246</v>
      </c>
      <c r="C14" s="21">
        <v>2215</v>
      </c>
      <c r="D14" s="14" t="s">
        <v>3</v>
      </c>
      <c r="E14" s="9">
        <v>6198</v>
      </c>
      <c r="F14" s="14" t="s">
        <v>3</v>
      </c>
      <c r="G14" s="1"/>
    </row>
    <row r="15" spans="1:7" x14ac:dyDescent="0.25">
      <c r="A15" s="1"/>
      <c r="B15" s="27" t="s">
        <v>247</v>
      </c>
      <c r="C15" s="21">
        <v>1456</v>
      </c>
      <c r="D15" s="14" t="s">
        <v>3</v>
      </c>
      <c r="E15" s="9">
        <v>4812</v>
      </c>
      <c r="F15" s="14" t="s">
        <v>3</v>
      </c>
      <c r="G15" s="1"/>
    </row>
    <row r="16" spans="1:7" x14ac:dyDescent="0.25">
      <c r="A16" s="1"/>
      <c r="B16" s="27"/>
      <c r="C16" s="21"/>
      <c r="D16" s="14" t="s">
        <v>3</v>
      </c>
      <c r="E16" s="9"/>
      <c r="F16" s="14" t="s">
        <v>3</v>
      </c>
      <c r="G16" s="1"/>
    </row>
    <row r="17" spans="1:7" x14ac:dyDescent="0.25">
      <c r="A17" s="1"/>
      <c r="B17" s="52" t="s">
        <v>151</v>
      </c>
      <c r="C17" s="12">
        <f>SUM(C10:C16)</f>
        <v>18972</v>
      </c>
      <c r="D17" s="13" t="s">
        <v>3</v>
      </c>
      <c r="E17" s="12">
        <f>SUM(E10:E16)</f>
        <v>68000</v>
      </c>
      <c r="F17" s="13" t="s">
        <v>3</v>
      </c>
      <c r="G17" s="1"/>
    </row>
    <row r="18" spans="1:7" x14ac:dyDescent="0.25">
      <c r="A18" s="1"/>
      <c r="B18" s="52" t="s">
        <v>209</v>
      </c>
      <c r="C18" s="12">
        <f>C17*(1+'Fane 13. Nøgletal'!C16)</f>
        <v>20504.937600000001</v>
      </c>
      <c r="D18" s="13" t="s">
        <v>3</v>
      </c>
      <c r="E18" s="12">
        <f>E17*(1+'Fane 13. Nøgletal'!C16)</f>
        <v>73494.399999999994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48nh+J7ySmUKK4tzuyq5eUrRWXvFiFOxVKK//KCpH890ptf1noyJzDgoBvSLF1xnmB7fXLYMp9Uwte+JcBsyzg==" saltValue="0svADN5F7icmh+DmmTGTc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248</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2GtC9euocG0bPQh5DsNM8S7uHSOJBk0U7iuh7uZcinSvcIBDNzEzPMKM1LCVM0VlE+wQFaSSys0M8Ip2l0bQA==" saltValue="iMdRR433fG/J+monxrWix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GvCNrSUrQWKlHB+SL8N4Hak854jrPgu9jcKohZWCYu3ygEngkBcuMwCh1yTNCZTJNoPFEowzc18t6fCo498LoQ==" saltValue="3kHGjGpU7546NhJP1+ck9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vWKGiTGHKKY7bQD6zT6U0IYmpSrX/v85q/2AEQ7u0xRqeYGRC8/VYIy3tE34uMfW9l0XwIEwcnF9oqND3uV5Q==" saltValue="XECel7czlTJfrHwfClheS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1"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Th4iFFDc++Aw8jrycdCW9sCyPj4Ikp5h3i1+BpeY14Tcoa4XNLlsjFA9+7+FvNLFqLvvPji6UkwCd80L6/x1Ug==" saltValue="ursiVFKrnvP5yvec5/1M2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26002989.050496228</v>
      </c>
      <c r="D8" s="8" t="s">
        <v>3</v>
      </c>
      <c r="E8" s="1"/>
    </row>
    <row r="9" spans="1:5" ht="17.100000000000001" customHeight="1" x14ac:dyDescent="0.25">
      <c r="A9" s="1"/>
      <c r="B9" s="24" t="s">
        <v>33</v>
      </c>
      <c r="C9" s="7">
        <f>'Fane 10.1. Varige tillæg'!C18</f>
        <v>20504.937600000001</v>
      </c>
      <c r="D9" s="8" t="s">
        <v>3</v>
      </c>
      <c r="E9" s="1"/>
    </row>
    <row r="10" spans="1:5" ht="17.100000000000001" customHeight="1" x14ac:dyDescent="0.25">
      <c r="A10" s="1"/>
      <c r="B10" s="24" t="s">
        <v>34</v>
      </c>
      <c r="C10" s="9">
        <f>'Fane 10.1. Varige tillæg'!E18</f>
        <v>73494.399999999994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933301.55667574564</v>
      </c>
      <c r="D15" s="8" t="s">
        <v>3</v>
      </c>
      <c r="E15" s="1"/>
    </row>
    <row r="16" spans="1:5" ht="17.100000000000001" customHeight="1" x14ac:dyDescent="0.25">
      <c r="A16" s="1"/>
      <c r="B16" s="24" t="s">
        <v>9</v>
      </c>
      <c r="C16" s="9">
        <f>-SUM(C8,C9:C15)*'Fane 5. Individuelt eff. krav'!G9</f>
        <v>-326747.34776093252</v>
      </c>
      <c r="D16" s="8" t="s">
        <v>3</v>
      </c>
      <c r="E16" s="1"/>
    </row>
    <row r="17" spans="1:5" ht="17.100000000000001" customHeight="1" x14ac:dyDescent="0.25">
      <c r="A17" s="1"/>
      <c r="B17" s="24" t="s">
        <v>22</v>
      </c>
      <c r="C17" s="9">
        <f>-'Fane 4.1. Gen. krav - drift'!G49</f>
        <v>-216167.37986434283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26487375.217146702</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19360519.690471679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f>SUM(C23:C26)</f>
        <v>0</v>
      </c>
      <c r="D27" s="11" t="s">
        <v>3</v>
      </c>
      <c r="E27" s="1"/>
    </row>
    <row r="28" spans="1:5" ht="15" customHeight="1" x14ac:dyDescent="0.25">
      <c r="A28" s="1"/>
      <c r="B28" s="26" t="s">
        <v>117</v>
      </c>
      <c r="C28" s="53"/>
      <c r="D28" s="19"/>
      <c r="E28" s="1"/>
    </row>
    <row r="29" spans="1:5" x14ac:dyDescent="0.25">
      <c r="A29" s="1"/>
      <c r="B29" s="72" t="s">
        <v>118</v>
      </c>
      <c r="C29" s="10">
        <f>'Fane 7. Kontrol af ØR2022'!E15</f>
        <v>0</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45847894.907618381</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77s4nOYDd0xKwxbcEzoiB8gjdWuSiUJnG7f9AUHXxzKbRnvQxh51TV4A3Sr8gcnh3qlHXvxHCwpOfTX8h2Lg==" saltValue="7yhbfPw5hSRxysW2mceqX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26487375.217146702</v>
      </c>
      <c r="D8" s="8" t="s">
        <v>3</v>
      </c>
      <c r="E8" s="1"/>
    </row>
    <row r="9" spans="1:5" ht="15" customHeight="1" x14ac:dyDescent="0.25">
      <c r="A9" s="1"/>
      <c r="B9" s="29" t="s">
        <v>17</v>
      </c>
      <c r="C9" s="9">
        <f>SUM(C8:C8)*'Fane 13. Nøgletal'!C16</f>
        <v>2140179.9175454536</v>
      </c>
      <c r="D9" s="8" t="s">
        <v>3</v>
      </c>
      <c r="E9" s="1"/>
    </row>
    <row r="10" spans="1:5" ht="15" customHeight="1" x14ac:dyDescent="0.25">
      <c r="A10" s="1"/>
      <c r="B10" s="29" t="s">
        <v>9</v>
      </c>
      <c r="C10" s="9">
        <f>-SUM(C8:C9)*'Fane 5. Individuelt eff. krav'!G9</f>
        <v>-346055.39682528313</v>
      </c>
      <c r="D10" s="8" t="s">
        <v>3</v>
      </c>
      <c r="E10" s="1"/>
    </row>
    <row r="11" spans="1:5" ht="15" customHeight="1" x14ac:dyDescent="0.25">
      <c r="A11" s="1"/>
      <c r="B11" s="29" t="s">
        <v>22</v>
      </c>
      <c r="C11" s="9">
        <f>-'Fane 4.1. Gen. krav - drift'!G54</f>
        <v>-228961.03007423412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28052538.707792636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20924849.681461789</v>
      </c>
      <c r="D15" s="11" t="s">
        <v>3</v>
      </c>
      <c r="E15" s="1"/>
    </row>
    <row r="16" spans="1:5" x14ac:dyDescent="0.25">
      <c r="A16" s="1"/>
      <c r="B16" s="26" t="s">
        <v>117</v>
      </c>
      <c r="C16" s="53"/>
      <c r="D16" s="19"/>
      <c r="E16" s="1"/>
    </row>
    <row r="17" spans="1:5" ht="15" customHeight="1" x14ac:dyDescent="0.25">
      <c r="A17" s="1"/>
      <c r="B17" s="72" t="s">
        <v>118</v>
      </c>
      <c r="C17" s="10">
        <f>'Fane 7. Kontrol af ØR2022'!E33</f>
        <v>0</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48977388.389254421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bi+H+HmV3Rna7oMNAJ+mqn5owcES+Ia8iFw+8iwHzI6G1CzSsyZ103jsS8DmKsn/V/kvSgUVwKze2oOQzvH5A==" saltValue="rr4ahypuANQV5fJNe5cxM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28052538.707792636</v>
      </c>
      <c r="D8" s="8" t="s">
        <v>3</v>
      </c>
      <c r="E8" s="1"/>
    </row>
    <row r="9" spans="1:5" ht="15" customHeight="1" x14ac:dyDescent="0.25">
      <c r="A9" s="1"/>
      <c r="B9" s="29" t="s">
        <v>17</v>
      </c>
      <c r="C9" s="9">
        <f>SUM(C8:C8)*'Fane 13. Nøgletal'!C16</f>
        <v>2266645.1275896449</v>
      </c>
      <c r="D9" s="8" t="s">
        <v>3</v>
      </c>
      <c r="E9" s="1"/>
    </row>
    <row r="10" spans="1:5" ht="15" customHeight="1" x14ac:dyDescent="0.25">
      <c r="A10" s="1"/>
      <c r="B10" s="29" t="s">
        <v>9</v>
      </c>
      <c r="C10" s="9">
        <f>-SUM(C8:C9)*'Fane 5. Individuelt eff. krav'!G9</f>
        <v>-366504.1301713225</v>
      </c>
      <c r="D10" s="8" t="s">
        <v>3</v>
      </c>
      <c r="E10" s="1"/>
    </row>
    <row r="11" spans="1:5" ht="15" customHeight="1" x14ac:dyDescent="0.25">
      <c r="A11" s="1"/>
      <c r="B11" s="29" t="s">
        <v>22</v>
      </c>
      <c r="C11" s="9">
        <f>-'Fane 4.1. Gen. krav - drift'!G59</f>
        <v>-242511.85967814762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29710167.845532812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22615577.535723902</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52325745.381256714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ZQUdPCx67DMvAhZvyCVC3rMBf4sAIrZl8u1yHyT7GjBOegyo6cqIuJdAmtHN6UWZ1WzXNtHE5EAER/O3y5xTg==" saltValue="zWbobaFXzrfJbH3kQXhgm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29710167.845532812</v>
      </c>
      <c r="D8" s="8" t="s">
        <v>3</v>
      </c>
      <c r="E8" s="1"/>
    </row>
    <row r="9" spans="1:5" ht="15" customHeight="1" x14ac:dyDescent="0.25">
      <c r="A9" s="1"/>
      <c r="B9" s="29" t="s">
        <v>17</v>
      </c>
      <c r="C9" s="9">
        <f>SUM(C8:C8)*'Fane 13. Nøgletal'!C16</f>
        <v>2400581.5619190512</v>
      </c>
      <c r="D9" s="8" t="s">
        <v>3</v>
      </c>
      <c r="E9" s="1"/>
    </row>
    <row r="10" spans="1:5" ht="15" customHeight="1" x14ac:dyDescent="0.25">
      <c r="A10" s="1"/>
      <c r="B10" s="29" t="s">
        <v>9</v>
      </c>
      <c r="C10" s="9">
        <f>-SUM(C8:C9)*'Fane 5. Individuelt eff. krav'!G9</f>
        <v>-388160.91965488315</v>
      </c>
      <c r="D10" s="8" t="s">
        <v>3</v>
      </c>
      <c r="E10" s="1"/>
    </row>
    <row r="11" spans="1:5" ht="15" customHeight="1" x14ac:dyDescent="0.25">
      <c r="A11" s="1"/>
      <c r="B11" s="29" t="s">
        <v>22</v>
      </c>
      <c r="C11" s="9">
        <f>-'Fane 4.1. Gen. krav - drift'!G64</f>
        <v>-256864.68158133913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31465723.80621564</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24442916.200610392</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55908640.006826028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2rA33gb67I1ehRadEIH2fZQiDo6age+VqKKZb4PRFA+5On45s4krlBa10ErpCVQxruD/Db4E+K28bOIZlqAlA==" saltValue="MfcQpW03ko4gSIu20K90i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25015757.15299182</v>
      </c>
      <c r="D8" s="8" t="s">
        <v>3</v>
      </c>
      <c r="E8" s="1"/>
    </row>
    <row r="9" spans="1:5" x14ac:dyDescent="0.25">
      <c r="A9" s="1"/>
      <c r="B9" s="24" t="s">
        <v>33</v>
      </c>
      <c r="C9" s="7">
        <v>176156.76626602106</v>
      </c>
      <c r="D9" s="8" t="s">
        <v>3</v>
      </c>
      <c r="E9" s="1"/>
    </row>
    <row r="10" spans="1:5" x14ac:dyDescent="0.25">
      <c r="A10" s="1"/>
      <c r="B10" s="24" t="s">
        <v>34</v>
      </c>
      <c r="C10" s="9">
        <v>432192.69629612123</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912218.19551372109</v>
      </c>
      <c r="D15" s="8" t="s">
        <v>3</v>
      </c>
      <c r="E15" s="1"/>
    </row>
    <row r="16" spans="1:5" x14ac:dyDescent="0.25">
      <c r="A16" s="1"/>
      <c r="B16" s="24" t="s">
        <v>9</v>
      </c>
      <c r="C16" s="9">
        <v>-320776.20214414387</v>
      </c>
      <c r="D16" s="8" t="s">
        <v>3</v>
      </c>
      <c r="E16" s="1"/>
    </row>
    <row r="17" spans="1:5" x14ac:dyDescent="0.25">
      <c r="A17" s="1"/>
      <c r="B17" s="24" t="s">
        <v>22</v>
      </c>
      <c r="C17" s="9">
        <v>-212559.55842731535</v>
      </c>
      <c r="D17" s="8" t="s">
        <v>3</v>
      </c>
      <c r="E17" s="1"/>
    </row>
    <row r="18" spans="1:5" x14ac:dyDescent="0.25">
      <c r="A18" s="1"/>
      <c r="B18" s="24" t="s">
        <v>23</v>
      </c>
      <c r="C18" s="9">
        <v>0</v>
      </c>
      <c r="D18" s="8" t="s">
        <v>3</v>
      </c>
      <c r="E18" s="1"/>
    </row>
    <row r="19" spans="1:5" x14ac:dyDescent="0.25">
      <c r="A19" s="1"/>
      <c r="B19" s="73" t="s">
        <v>19</v>
      </c>
      <c r="C19" s="10">
        <v>26002989.050496228</v>
      </c>
      <c r="D19" s="11" t="s">
        <v>3</v>
      </c>
      <c r="E19" s="1"/>
    </row>
    <row r="20" spans="1:5" x14ac:dyDescent="0.25">
      <c r="A20" s="1"/>
      <c r="B20" s="52" t="s">
        <v>11</v>
      </c>
      <c r="C20" s="53"/>
      <c r="D20" s="19"/>
      <c r="E20" s="1"/>
    </row>
    <row r="21" spans="1:5" x14ac:dyDescent="0.25">
      <c r="A21" s="1"/>
      <c r="B21" s="54" t="s">
        <v>11</v>
      </c>
      <c r="C21" s="10">
        <v>18152179.28763264</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0</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44155168.338128865</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GDkqkHCvDY4jrml8VYn+Z8ND+khzd4IvUpjypa/QjSXMg8G+fRTcE4ANXGEEgTjkNIT6i/hI/j4vVgX6shZgw==" saltValue="4CbQ+NCQTHxXEFNFUoiW3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10585021.868557494</v>
      </c>
      <c r="H5" s="14" t="s">
        <v>3</v>
      </c>
      <c r="I5" s="1"/>
    </row>
    <row r="6" spans="1:9" x14ac:dyDescent="0.25">
      <c r="A6" s="1"/>
      <c r="B6" s="101" t="s">
        <v>37</v>
      </c>
      <c r="C6" s="102"/>
      <c r="D6" s="102"/>
      <c r="E6" s="102"/>
      <c r="F6" s="103"/>
      <c r="G6" s="22">
        <f>G5*'Fane 13. Nøgletal'!C33</f>
        <v>211700.43737114989</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10505062.613362411</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210101.25226724823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10468946.20809767</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209378.92416195342</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10432953.971034229</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208659.07942068457</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10349031.289291229</v>
      </c>
      <c r="H29" s="14" t="s">
        <v>3</v>
      </c>
      <c r="I29" s="1"/>
    </row>
    <row r="30" spans="1:9" x14ac:dyDescent="0.25">
      <c r="A30" s="1"/>
      <c r="B30" s="101" t="s">
        <v>231</v>
      </c>
      <c r="C30" s="102"/>
      <c r="D30" s="102"/>
      <c r="E30" s="102"/>
      <c r="F30" s="103"/>
      <c r="G30" s="47">
        <v>0</v>
      </c>
      <c r="H30" s="14" t="s">
        <v>3</v>
      </c>
      <c r="I30" s="1"/>
    </row>
    <row r="31" spans="1:9" x14ac:dyDescent="0.25">
      <c r="A31" s="1"/>
      <c r="B31" s="101" t="s">
        <v>115</v>
      </c>
      <c r="C31" s="102"/>
      <c r="D31" s="102"/>
      <c r="E31" s="102"/>
      <c r="F31" s="103"/>
      <c r="G31" s="22">
        <f>(G29+G30)*'Fane 13. Nøgletal'!C33</f>
        <v>206980.62578582458</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10265783.68160017</v>
      </c>
      <c r="H35" s="14" t="s">
        <v>3</v>
      </c>
      <c r="I35" s="1"/>
    </row>
    <row r="36" spans="1:9" x14ac:dyDescent="0.25">
      <c r="A36" s="1"/>
      <c r="B36" s="101" t="s">
        <v>232</v>
      </c>
      <c r="C36" s="102"/>
      <c r="D36" s="102"/>
      <c r="E36" s="102"/>
      <c r="F36" s="103"/>
      <c r="G36" s="47">
        <v>26534.263060400004</v>
      </c>
      <c r="H36" s="14" t="s">
        <v>3</v>
      </c>
      <c r="I36" s="1"/>
    </row>
    <row r="37" spans="1:9" x14ac:dyDescent="0.25">
      <c r="A37" s="1"/>
      <c r="B37" s="101" t="s">
        <v>123</v>
      </c>
      <c r="C37" s="102"/>
      <c r="D37" s="102"/>
      <c r="E37" s="102"/>
      <c r="F37" s="103"/>
      <c r="G37" s="22">
        <f>(G35+G36)*'Fane 13. Nøgletal'!C33</f>
        <v>205846.35889321141</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10445549.974220676</v>
      </c>
      <c r="H41" s="14" t="s">
        <v>3</v>
      </c>
      <c r="I41" s="1"/>
    </row>
    <row r="42" spans="1:9" x14ac:dyDescent="0.25">
      <c r="A42" s="1"/>
      <c r="B42" s="101" t="s">
        <v>156</v>
      </c>
      <c r="C42" s="102"/>
      <c r="D42" s="102"/>
      <c r="E42" s="102"/>
      <c r="F42" s="103"/>
      <c r="G42" s="22">
        <v>182427.94714509143</v>
      </c>
      <c r="H42" s="14" t="s">
        <v>3</v>
      </c>
      <c r="I42" s="1"/>
    </row>
    <row r="43" spans="1:9" x14ac:dyDescent="0.25">
      <c r="A43" s="1"/>
      <c r="B43" s="101" t="s">
        <v>166</v>
      </c>
      <c r="C43" s="102"/>
      <c r="D43" s="102"/>
      <c r="E43" s="102"/>
      <c r="F43" s="103"/>
      <c r="G43" s="22">
        <f>(G41+G42)*'Fane 13. Nøgletal'!C33</f>
        <v>212559.55842731535</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10786207.256659063</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22161.73655808</v>
      </c>
      <c r="H48" s="14" t="s">
        <v>3</v>
      </c>
      <c r="I48" s="1"/>
    </row>
    <row r="49" spans="1:9" x14ac:dyDescent="0.25">
      <c r="A49" s="1"/>
      <c r="B49" s="101" t="s">
        <v>167</v>
      </c>
      <c r="C49" s="102"/>
      <c r="D49" s="102"/>
      <c r="E49" s="102"/>
      <c r="F49" s="103"/>
      <c r="G49" s="22">
        <f>G47*'Fane 13. Nøgletal'!C33+G48*'Fane 13. Nøgletal'!C33</f>
        <v>216167.37986434283</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11448051.503711706</v>
      </c>
      <c r="H53" s="14" t="s">
        <v>3</v>
      </c>
      <c r="I53" s="1"/>
    </row>
    <row r="54" spans="1:9" x14ac:dyDescent="0.25">
      <c r="A54" s="1"/>
      <c r="B54" s="101" t="s">
        <v>135</v>
      </c>
      <c r="C54" s="102"/>
      <c r="D54" s="102"/>
      <c r="E54" s="102"/>
      <c r="F54" s="103"/>
      <c r="G54" s="22">
        <f>(G53)*'Fane 13. Nøgletal'!C33</f>
        <v>228961.03007423412</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12125592.983907381</v>
      </c>
      <c r="H58" s="14" t="s">
        <v>3</v>
      </c>
      <c r="I58" s="1"/>
    </row>
    <row r="59" spans="1:9" x14ac:dyDescent="0.25">
      <c r="A59" s="1"/>
      <c r="B59" s="101" t="s">
        <v>146</v>
      </c>
      <c r="C59" s="102"/>
      <c r="D59" s="102"/>
      <c r="E59" s="102"/>
      <c r="F59" s="103"/>
      <c r="G59" s="22">
        <f>(G58)*'Fane 13. Nøgletal'!C33</f>
        <v>242511.85967814762</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12843234.079066956</v>
      </c>
      <c r="H63" s="14" t="s">
        <v>3</v>
      </c>
      <c r="I63" s="1"/>
    </row>
    <row r="64" spans="1:9" x14ac:dyDescent="0.25">
      <c r="A64" s="1"/>
      <c r="B64" s="101" t="s">
        <v>222</v>
      </c>
      <c r="C64" s="102"/>
      <c r="D64" s="102"/>
      <c r="E64" s="102"/>
      <c r="F64" s="103"/>
      <c r="G64" s="22">
        <f>(G63)*'Fane 13. Nøgletal'!C33</f>
        <v>256864.68158133913</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r41kGE1QlJhz+19lb6+g8tjj3eD7fi2hPqQKBoCSgdXYyn7Lq5oqUpmszVSRJj4rfjP+faVa2QmzqR1gAlXj0A==" saltValue="LQxqST2YD9mAf5KNY4g+6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15608276.578450453</v>
      </c>
      <c r="H5" s="14" t="s">
        <v>3</v>
      </c>
      <c r="I5" s="1"/>
    </row>
    <row r="6" spans="1:9" x14ac:dyDescent="0.25">
      <c r="A6" s="1"/>
      <c r="B6" s="101" t="s">
        <v>49</v>
      </c>
      <c r="C6" s="102"/>
      <c r="D6" s="102"/>
      <c r="E6" s="102"/>
      <c r="F6" s="103"/>
      <c r="G6" s="22">
        <f>G5*'Fane 13. Nøgletal'!C21</f>
        <v>142035.31686389912</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15662662.525608702</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142530.22898303918</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15782422.532438636</v>
      </c>
      <c r="H16" s="14" t="s">
        <v>3</v>
      </c>
      <c r="I16" s="1"/>
    </row>
    <row r="17" spans="1:9" x14ac:dyDescent="0.25">
      <c r="A17" s="1"/>
      <c r="B17" s="101" t="s">
        <v>101</v>
      </c>
      <c r="C17" s="102"/>
      <c r="D17" s="102"/>
      <c r="E17" s="102"/>
      <c r="F17" s="103"/>
      <c r="G17" s="47">
        <v>159157.50193456997</v>
      </c>
      <c r="H17" s="14" t="s">
        <v>3</v>
      </c>
      <c r="I17" s="1"/>
    </row>
    <row r="18" spans="1:9" x14ac:dyDescent="0.25">
      <c r="A18" s="1"/>
      <c r="B18" s="104" t="s">
        <v>58</v>
      </c>
      <c r="C18" s="105"/>
      <c r="D18" s="105"/>
      <c r="E18" s="105"/>
      <c r="F18" s="106"/>
      <c r="G18" s="47">
        <v>577419.96151106991</v>
      </c>
      <c r="H18" s="14" t="s">
        <v>3</v>
      </c>
      <c r="I18" s="1"/>
    </row>
    <row r="19" spans="1:9" x14ac:dyDescent="0.25">
      <c r="A19" s="1"/>
      <c r="B19" s="101" t="s">
        <v>59</v>
      </c>
      <c r="C19" s="102"/>
      <c r="D19" s="102"/>
      <c r="E19" s="102"/>
      <c r="F19" s="103"/>
      <c r="G19" s="22">
        <f>(G16+G17+G18)*'Fane 13. Nøgletal'!C23</f>
        <v>143715.2999641932</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16652027.00728113</v>
      </c>
      <c r="H23" s="14" t="s">
        <v>3</v>
      </c>
      <c r="I23" s="1"/>
    </row>
    <row r="24" spans="1:9" x14ac:dyDescent="0.25">
      <c r="A24" s="1"/>
      <c r="B24" s="104" t="s">
        <v>62</v>
      </c>
      <c r="C24" s="105"/>
      <c r="D24" s="105"/>
      <c r="E24" s="105"/>
      <c r="F24" s="106"/>
      <c r="G24" s="47">
        <v>134238.18546452557</v>
      </c>
      <c r="H24" s="14" t="s">
        <v>3</v>
      </c>
      <c r="I24" s="1"/>
    </row>
    <row r="25" spans="1:9" x14ac:dyDescent="0.25">
      <c r="A25" s="1"/>
      <c r="B25" s="101" t="s">
        <v>63</v>
      </c>
      <c r="C25" s="102"/>
      <c r="D25" s="102"/>
      <c r="E25" s="102"/>
      <c r="F25" s="103"/>
      <c r="G25" s="22">
        <f>G23*'Fane 13. Nøgletal'!C23+G24*'Fane 13. Nøgletal'!C24</f>
        <v>148684.99943053836</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16840558.671673562</v>
      </c>
      <c r="H29" s="14" t="s">
        <v>3</v>
      </c>
      <c r="I29" s="1"/>
    </row>
    <row r="30" spans="1:9" x14ac:dyDescent="0.25">
      <c r="A30" s="1"/>
      <c r="B30" s="101" t="s">
        <v>113</v>
      </c>
      <c r="C30" s="102"/>
      <c r="D30" s="102"/>
      <c r="E30" s="102"/>
      <c r="F30" s="103"/>
      <c r="G30" s="47">
        <v>599597.74218204</v>
      </c>
      <c r="H30" s="14" t="s">
        <v>3</v>
      </c>
      <c r="I30" s="1"/>
    </row>
    <row r="31" spans="1:9" x14ac:dyDescent="0.25">
      <c r="A31" s="1"/>
      <c r="B31" s="101" t="s">
        <v>120</v>
      </c>
      <c r="C31" s="102"/>
      <c r="D31" s="102"/>
      <c r="E31" s="102"/>
      <c r="F31" s="103"/>
      <c r="G31" s="22">
        <f>(G29+G30)*'Fane 13. Nøgletal'!C25</f>
        <v>479604.30138102901</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17167470.848246761</v>
      </c>
      <c r="H35" s="14" t="s">
        <v>3</v>
      </c>
      <c r="I35" s="1"/>
    </row>
    <row r="36" spans="1:9" x14ac:dyDescent="0.25">
      <c r="A36" s="1"/>
      <c r="B36" s="101" t="s">
        <v>129</v>
      </c>
      <c r="C36" s="102"/>
      <c r="D36" s="102"/>
      <c r="E36" s="102"/>
      <c r="F36" s="103"/>
      <c r="G36" s="22">
        <v>12996.353200790003</v>
      </c>
      <c r="H36" s="14" t="s">
        <v>3</v>
      </c>
      <c r="I36" s="1"/>
    </row>
    <row r="37" spans="1:9" x14ac:dyDescent="0.25">
      <c r="A37" s="1"/>
      <c r="B37" s="101" t="s">
        <v>125</v>
      </c>
      <c r="C37" s="102"/>
      <c r="D37" s="102"/>
      <c r="E37" s="102"/>
      <c r="F37" s="103"/>
      <c r="G37" s="22">
        <f>G35*'Fane 13. Nøgletal'!C25+G36*'Fane 13. Nøgletal'!C26</f>
        <v>472297.79435415764</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17302980.23798592</v>
      </c>
      <c r="H41" s="14" t="s">
        <v>3</v>
      </c>
      <c r="I41" s="1"/>
    </row>
    <row r="42" spans="1:9" x14ac:dyDescent="0.25">
      <c r="A42" s="1"/>
      <c r="B42" s="101" t="s">
        <v>169</v>
      </c>
      <c r="C42" s="102"/>
      <c r="D42" s="102"/>
      <c r="E42" s="102"/>
      <c r="F42" s="103"/>
      <c r="G42" s="9">
        <v>447578.75628426316</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18382478.894466203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79432.74751999999</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19953634.102658689</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21565887.73815351</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23308411.467396311</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NRF/3XfsJvMzWWbvzZh6IJo4CdKjbYqMVOGUSbm1r8MRhTIfUxxegz4Cu2e2aQ9ABWuEB7f0OnoILQNIic4iFw==" saltValue="vMAHl1eRk7AZ1gf7jelIo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51">
        <v>1.2088192484377322E-2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soqCTYJRFPaBdO9JfWeg0XAB9SkmYSwB7MW3HwBgFHtyiUond45reZZ+kvb+uFTbXfR4BTONJ+wQWsiqyMGvSg==" saltValue="76OveOgZbGagd9git1ySX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2023-11-02T17:59:27Z</dcterms:modified>
</cp:coreProperties>
</file>