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vendborg Vand AS (V178)\ØR2024\"/>
    </mc:Choice>
  </mc:AlternateContent>
  <xr:revisionPtr revIDLastSave="0" documentId="13_ncr:1_{47A66342-761F-4D70-AE9B-A68504172CF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3" i="21" l="1"/>
  <c r="C14" i="21" s="1"/>
  <c r="E13" i="21"/>
  <c r="E14" i="21" s="1"/>
  <c r="E31" i="42" l="1"/>
  <c r="E33" i="42" s="1"/>
  <c r="E23" i="42"/>
  <c r="E27" i="42" s="1"/>
  <c r="C29" i="2" l="1"/>
  <c r="C17" i="22" l="1"/>
  <c r="C17" i="15"/>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<sst xmlns="http://schemas.openxmlformats.org/spreadsheetml/2006/main" count="549" uniqueCount="262">
  <si>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</si>
  <si>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</si>
  <si>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</si>
  <si>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</si>
  <si>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</si>
  <si>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</si>
  <si>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</si>
  <si>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</si>
  <si>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</si>
  <si>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</si>
  <si>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</si>
  <si>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</si>
  <si>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</si>
  <si>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</si>
  <si>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</si>
  <si>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</si>
  <si>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</si>
  <si>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</si>
  <si>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</si>
  <si>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</si>
  <si>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</si>
  <si>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</si>
  <si>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</si>
  <si>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</si>
  <si>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</si>
  <si>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</si>
  <si>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</si>
  <si>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</si>
  <si>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</si>
  <si>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</si>
  <si>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</si>
  <si>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</si>
  <si>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</si>
  <si>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</si>
  <si>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</si>
  <si>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</si>
  <si>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</si>
  <si>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</si>
  <si>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</si>
  <si>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</si>
  <si>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</si>
  <si>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</si>
  <si>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</si>
  <si>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</si>
  <si>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</si>
  <si>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</si>
  <si>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</si>
  <si>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</si>
  <si>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</si>
  <si>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</si>
  <si>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</si>
  <si>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</si>
  <si>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</si>
  <si>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</si>
  <si>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</si>
  <si>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</si>
  <si>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</si>
  <si>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</si>
  <si>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</si>
  <si>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</si>
  <si>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</si>
  <si>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</si>
  <si>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</si>
  <si>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</si>
  <si>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</si>
  <si>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</si>
  <si>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</si>
  <si>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</si>
  <si>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</si>
  <si>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</si>
  <si>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</si>
  <si>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</si>
  <si>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</si>
  <si>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</si>
  <si>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</si>
  <si>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</si>
  <si>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</si>
  <si>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</si>
  <si>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</si>
  <si>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</si>
  <si>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</si>
  <si>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</si>
  <si>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</si>
  <si>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</si>
  <si>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</si>
  <si>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</si>
  <si>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</si>
  <si>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</si>
  <si>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</si>
  <si>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</si>
  <si>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</si>
  <si>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</si>
  <si>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</si>
  <si>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</si>
  <si>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</si>
  <si>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</si>
  <si>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</si>
  <si>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</si>
  <si>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</si>
  <si>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</si>
  <si>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</si>
  <si>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</si>
  <si>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</si>
  <si>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</si>
  <si>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</si>
  <si>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</si>
  <si>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</si>
  <si>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</si>
  <si>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</si>
  <si>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</si>
  <si>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</si>
  <si>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</si>
  <si>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</si>
  <si>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</si>
  <si>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</si>
  <si>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</si>
  <si>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</si>
  <si>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</si>
  <si>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</si>
  <si>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</si>
  <si>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</si>
  <si>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</si>
  <si>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</si>
  <si>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</si>
  <si>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</si>
  <si>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</si>
  <si>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</si>
  <si>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</si>
  <si>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</si>
  <si>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</si>
  <si>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</si>
  <si>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</si>
  <si>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</si>
  <si>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</si>
  <si>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</si>
  <si>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</si>
  <si>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</si>
  <si>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</si>
  <si>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</si>
  <si>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</si>
  <si>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</si>
  <si>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</si>
  <si>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</si>
  <si>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</si>
  <si>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</si>
  <si>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</si>
  <si>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</si>
  <si>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</si>
  <si>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</si>
  <si>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</si>
  <si>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</si>
  <si>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</si>
  <si>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</si>
  <si>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</si>
  <si>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</si>
  <si>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</si>
  <si>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</si>
  <si>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</si>
  <si>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</si>
  <si>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</si>
  <si>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</si>
  <si>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</si>
  <si>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</si>
  <si>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</si>
  <si>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</si>
  <si>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</si>
  <si>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</si>
  <si>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</si>
  <si>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</si>
  <si>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</si>
  <si>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</si>
  <si>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</si>
  <si>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</si>
  <si>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</si>
  <si>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</si>
  <si>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</si>
  <si>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</si>
  <si>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</si>
  <si>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</si>
  <si>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</si>
  <si>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</si>
  <si>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</si>
  <si>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</si>
  <si>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</si>
  <si>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</si>
  <si>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</si>
  <si>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</si>
  <si>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</si>
  <si>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</si>
  <si>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</si>
  <si>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</si>
  <si>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</si>
  <si>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</si>
  <si>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</si>
  <si>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</si>
  <si>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</si>
  <si>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</si>
  <si>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</si>
  <si>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</si>
  <si>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</si>
  <si>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</si>
  <si>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</si>
  <si>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</si>
  <si>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</si>
  <si>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</si>
  <si>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</si>
  <si>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</si>
  <si>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</si>
  <si>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</si>
  <si>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</si>
  <si>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</si>
  <si>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</si>
  <si>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</si>
  <si>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</si>
  <si>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</si>
  <si>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</si>
  <si>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</si>
  <si>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</si>
  <si>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</si>
  <si>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</si>
  <si>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</si>
  <si>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</si>
  <si>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</si>
  <si>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</si>
  <si>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</si>
  <si>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</si>
  <si>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</si>
  <si>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</si>
  <si>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</si>
  <si>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</si>
  <si>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</si>
  <si>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</si>
  <si>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</si>
  <si>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</si>
  <si>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</si>
  <si>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</si>
  <si>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</si>
  <si>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</si>
  <si>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</si>
  <si>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</si>
  <si>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</si>
  <si>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</si>
  <si>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</si>
  <si>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 af forsyningsområdet</t>
  </si>
  <si>
    <t>Ingen engangstillæg</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</si>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</sst>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70" zoomScaleNormal="100" zoomScalePageLayoutView="7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ofEHygYLoL8yuGF/vRBYf5/mAj62sxos596KOybnOBwTzLrZDMMCjBtrRIQ9yJMbHgWoMiByhbfpT5RNHBXQYA==" saltValue="p/zu2G9mE2toQRrLpeaWo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55" zoomScaleNormal="100" zoomScalePageLayoutView="55"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245</v>
      </c>
      <c r="C10" s="9">
        <v>11842982</v>
      </c>
      <c r="D10" s="14" t="s">
        <v>3</v>
      </c>
      <c r="E10" s="1"/>
      <c r="F10" s="1"/>
    </row>
    <row r="11" spans="1:6" x14ac:dyDescent="0.25">
      <c r="A11" s="1"/>
      <c r="B11" s="68" t="s">
        <v>246</v>
      </c>
      <c r="C11" s="9">
        <v>97603</v>
      </c>
      <c r="D11" s="14" t="s">
        <v>3</v>
      </c>
      <c r="E11" s="1"/>
      <c r="F11" s="1"/>
    </row>
    <row r="12" spans="1:6" ht="26.25" x14ac:dyDescent="0.25">
      <c r="A12" s="1"/>
      <c r="B12" s="55" t="s">
        <v>247</v>
      </c>
      <c r="C12" s="9">
        <v>269782</v>
      </c>
      <c r="D12" s="14" t="s">
        <v>3</v>
      </c>
      <c r="E12" s="1"/>
      <c r="F12" s="1"/>
    </row>
    <row r="13" spans="1:6" x14ac:dyDescent="0.25">
      <c r="A13" s="1"/>
      <c r="B13" s="68" t="s">
        <v>248</v>
      </c>
      <c r="C13" s="9">
        <v>153077</v>
      </c>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12363444</v>
      </c>
      <c r="D19" s="13" t="s">
        <v>3</v>
      </c>
      <c r="E19" s="1"/>
      <c r="F19" s="1"/>
    </row>
    <row r="20" spans="1:6" x14ac:dyDescent="0.25">
      <c r="A20" s="1"/>
      <c r="B20" s="52" t="s">
        <v>214</v>
      </c>
      <c r="C20" s="12">
        <f>C19*(1+'Fane 13. Nøgletal'!C16)^2</f>
        <v>14442093.025436159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LWAkttv85pFdmgd4v7NxctJJEuIn5KVl10FxWZZKXej5yTXwzknbHrBP/yqM6REezRsZafvFSMlMOxvxN8t9Bg==" saltValue="00VyHihtX5qGBdYzdZo9h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40A4-C8F8-487C-AF06-3ABA4BBE24FE}">
  <dimension ref="A1:G45"/>
  <sheetViews>
    <sheetView showGridLines="0" view="pageLayout" zoomScale="70" zoomScaleNormal="100" zoomScalePageLayoutView="7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1" t="s">
        <v>249</v>
      </c>
      <c r="C8" s="102"/>
      <c r="D8" s="102"/>
      <c r="E8" s="102"/>
      <c r="F8" s="103"/>
      <c r="G8" s="1"/>
    </row>
    <row r="9" spans="1:7" x14ac:dyDescent="0.25">
      <c r="A9" s="1"/>
      <c r="B9" s="104" t="s">
        <v>250</v>
      </c>
      <c r="C9" s="105"/>
      <c r="D9" s="106"/>
      <c r="E9" s="28">
        <v>-2375095</v>
      </c>
      <c r="F9" s="14" t="s">
        <v>3</v>
      </c>
      <c r="G9" s="1"/>
    </row>
    <row r="10" spans="1:7" x14ac:dyDescent="0.25">
      <c r="A10" s="1"/>
      <c r="B10" s="52"/>
      <c r="C10" s="53"/>
      <c r="D10" s="53"/>
      <c r="E10" s="53"/>
      <c r="F10" s="19"/>
      <c r="G10" s="1"/>
    </row>
    <row r="11" spans="1:7" ht="53.25" customHeight="1" x14ac:dyDescent="0.25">
      <c r="A11" s="1"/>
      <c r="B11" s="119" t="s">
        <v>251</v>
      </c>
      <c r="C11" s="120"/>
      <c r="D11" s="120"/>
      <c r="E11" s="120"/>
      <c r="F11" s="121"/>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252</v>
      </c>
      <c r="C14" s="105"/>
      <c r="D14" s="106"/>
      <c r="E14" s="9">
        <v>-2259953</v>
      </c>
      <c r="F14" s="14" t="s">
        <v>3</v>
      </c>
      <c r="G14" s="1"/>
    </row>
    <row r="15" spans="1:7" x14ac:dyDescent="0.25">
      <c r="A15" s="1"/>
      <c r="B15" s="104" t="s">
        <v>253</v>
      </c>
      <c r="C15" s="105"/>
      <c r="D15" s="106"/>
      <c r="E15" s="9">
        <v>-2259953</v>
      </c>
      <c r="F15" s="14" t="s">
        <v>3</v>
      </c>
      <c r="G15" s="1"/>
    </row>
    <row r="16" spans="1:7" x14ac:dyDescent="0.25">
      <c r="A16" s="1"/>
      <c r="B16" s="52"/>
      <c r="C16" s="53"/>
      <c r="D16" s="53"/>
      <c r="E16" s="53"/>
      <c r="F16" s="19"/>
      <c r="G16" s="1"/>
    </row>
    <row r="17" spans="1:7" ht="32.25" customHeight="1" x14ac:dyDescent="0.25">
      <c r="A17" s="1"/>
      <c r="B17" s="119" t="s">
        <v>254</v>
      </c>
      <c r="C17" s="120"/>
      <c r="D17" s="120"/>
      <c r="E17" s="120"/>
      <c r="F17" s="121"/>
      <c r="G17" s="1"/>
    </row>
    <row r="18" spans="1:7" x14ac:dyDescent="0.25">
      <c r="A18" s="1"/>
      <c r="B18" s="1"/>
      <c r="C18" s="1"/>
      <c r="D18" s="1"/>
      <c r="E18" s="1"/>
      <c r="F18" s="1"/>
      <c r="G18" s="1"/>
    </row>
    <row r="19" spans="1:7" x14ac:dyDescent="0.25">
      <c r="A19" s="1"/>
      <c r="B19" s="69" t="s">
        <v>255</v>
      </c>
      <c r="C19" s="70"/>
      <c r="D19" s="70"/>
      <c r="E19" s="70"/>
      <c r="F19" s="71"/>
      <c r="G19" s="1"/>
    </row>
    <row r="20" spans="1:7" x14ac:dyDescent="0.25">
      <c r="A20" s="1"/>
      <c r="B20" s="65" t="s">
        <v>256</v>
      </c>
      <c r="C20" s="66"/>
      <c r="D20" s="67"/>
      <c r="E20" s="9">
        <v>37831798</v>
      </c>
      <c r="F20" s="14" t="s">
        <v>3</v>
      </c>
      <c r="G20" s="1"/>
    </row>
    <row r="21" spans="1:7" x14ac:dyDescent="0.25">
      <c r="A21" s="1"/>
      <c r="B21" s="65" t="s">
        <v>257</v>
      </c>
      <c r="C21" s="66"/>
      <c r="D21" s="67"/>
      <c r="E21" s="9">
        <v>38191798</v>
      </c>
      <c r="F21" s="14" t="s">
        <v>3</v>
      </c>
      <c r="G21" s="1"/>
    </row>
    <row r="22" spans="1:7" x14ac:dyDescent="0.25">
      <c r="A22" s="1"/>
      <c r="B22" s="65" t="s">
        <v>29</v>
      </c>
      <c r="C22" s="66"/>
      <c r="D22" s="67"/>
      <c r="E22" s="9">
        <v>0</v>
      </c>
      <c r="F22" s="14" t="s">
        <v>3</v>
      </c>
      <c r="G22" s="1"/>
    </row>
    <row r="23" spans="1:7" x14ac:dyDescent="0.25">
      <c r="A23" s="1"/>
      <c r="B23" s="73" t="s">
        <v>258</v>
      </c>
      <c r="C23" s="74"/>
      <c r="D23" s="75"/>
      <c r="E23" s="10">
        <f>E20-(E21-E22)</f>
        <v>-360000</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1" t="s">
        <v>259</v>
      </c>
      <c r="C26" s="102"/>
      <c r="D26" s="102"/>
      <c r="E26" s="102"/>
      <c r="F26" s="103"/>
      <c r="G26" s="1"/>
    </row>
    <row r="27" spans="1:7" x14ac:dyDescent="0.25">
      <c r="A27" s="1"/>
      <c r="B27" s="129" t="s">
        <v>260</v>
      </c>
      <c r="C27" s="130"/>
      <c r="D27" s="131"/>
      <c r="E27" s="62">
        <f>IF(AND(E15&lt;0,E23&gt;0,ABS(SUM(E14:E15))&lt;E23),ABS(E14),IF(AND(E15&lt;0,E23&gt;0,ABS(SUM(E14:E15))&gt;E23),SUM(E14,E23),0))</f>
        <v>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261</v>
      </c>
      <c r="C30" s="102"/>
      <c r="D30" s="102"/>
      <c r="E30" s="102"/>
      <c r="F30" s="103"/>
      <c r="G30" s="1"/>
    </row>
    <row r="31" spans="1:7" x14ac:dyDescent="0.25">
      <c r="A31" s="1"/>
      <c r="B31" s="122" t="s">
        <v>117</v>
      </c>
      <c r="C31" s="123"/>
      <c r="D31" s="124"/>
      <c r="E31" s="63">
        <f>IF(AND(E9&gt;0,(E9+E23)&gt;0),0,IF(AND(E9&gt;0,(E9+E23)&lt;0),(E9+E23),IF(AND(E9&lt;0,E23&lt;0),E23,0)))</f>
        <v>-360000</v>
      </c>
      <c r="F31" s="14" t="s">
        <v>3</v>
      </c>
      <c r="G31" s="1"/>
    </row>
    <row r="32" spans="1:7" x14ac:dyDescent="0.25">
      <c r="A32" s="1"/>
      <c r="B32" s="122" t="s">
        <v>85</v>
      </c>
      <c r="C32" s="123"/>
      <c r="D32" s="124"/>
      <c r="E32" s="9">
        <v>2</v>
      </c>
      <c r="F32" s="14" t="s">
        <v>18</v>
      </c>
      <c r="G32" s="1"/>
    </row>
    <row r="33" spans="1:7" x14ac:dyDescent="0.25">
      <c r="A33" s="1"/>
      <c r="B33" s="125" t="s">
        <v>116</v>
      </c>
      <c r="C33" s="125"/>
      <c r="D33" s="125"/>
      <c r="E33" s="62">
        <f>E31/E32</f>
        <v>-180000</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L4RjSg6BRcoxK8VmrK6AXSJPHyZaKlyv04mRHs5caopHBpYOYOHX+HFisFQUdT/f8TCnmpX7/P3W7Da5qqmqA==" saltValue="COayj81BWIRKQhnPlCTYv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55" zoomScaleNormal="100" zoomScalePageLayoutView="55"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8mmEq7AIpjQhEnb7v69tInLMQEecKdF+qVNAuOOHPPi/lffgs08mF6bD3I34pQznxH1NgRGXf3IZNRXdRIgAw==" saltValue="gCUd+QqmEPVPDkDtJwZDi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85" zoomScaleNormal="100" zoomScalePageLayoutView="85"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ueCKmt9LVyxRxw8cPvpqSCylTbFs+8ALtzeNZQlrVp/QoYtymnPF4HSnOhrk/4rcuwJqavaJereUJ4gF9Nowyw==" saltValue="OqXrmThXpQKHQkPHKMjco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28010</v>
      </c>
      <c r="D11" s="14" t="s">
        <v>3</v>
      </c>
      <c r="E11" s="9">
        <v>44899</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28010</v>
      </c>
      <c r="D17" s="13" t="s">
        <v>3</v>
      </c>
      <c r="E17" s="12">
        <f>SUM(E10:E16)</f>
        <v>44899</v>
      </c>
      <c r="F17" s="13" t="s">
        <v>3</v>
      </c>
      <c r="G17" s="1"/>
    </row>
    <row r="18" spans="1:7" x14ac:dyDescent="0.25">
      <c r="A18" s="1"/>
      <c r="B18" s="52" t="s">
        <v>209</v>
      </c>
      <c r="C18" s="12">
        <f>C17*(1+'Fane 13. Nøgletal'!C16)</f>
        <v>30273.207999999999</v>
      </c>
      <c r="D18" s="13" t="s">
        <v>3</v>
      </c>
      <c r="E18" s="12">
        <f>E17*(1+'Fane 13. Nøgletal'!C16)</f>
        <v>48526.839200000002</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G/c2PJPVisE1FnlpTg22+CIep2kb/RcbHxFBAiN8C3uZQxyfgpFne0poyYnur+7ygrpEyTWTa8aA8rxASdD2vA==" saltValue="0E1POWJbqT83Y9KKZqv0x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t="s">
        <v>244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HjRi8SYp0eLNOr8KnBAZimj8aVv45w/PZPNsgJzfWLURg3Xy5hyXWyQJAc3rTFGAtoBntE10oQsmip9ULDVfA==" saltValue="XHCjH6sIg/cr5rUbyr6qI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70" zoomScaleNormal="100" zoomScalePageLayoutView="7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mfLh/RKfuOo524KdwpNQjyIyHpStP1DAyNg/WqDcKIV4S9DLBUX9YZU5T3CpgqBN3nPsVTAI/dmnlU0GXKdGQ==" saltValue="tGPQEE+SNVRrLSIeMutfg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181</v>
      </c>
      <c r="C3" s="100"/>
      <c r="D3" s="100"/>
      <c r="E3" s="100"/>
      <c r="F3" s="100"/>
    </row>
    <row r="4" spans="1:6" ht="25.5" customHeight="1" x14ac:dyDescent="0.25">
      <c r="A4" s="1"/>
      <c r="B4" s="100"/>
      <c r="C4" s="100"/>
      <c r="D4" s="100"/>
      <c r="E4" s="100"/>
      <c r="F4" s="100"/>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1" t="s">
        <v>237</v>
      </c>
      <c r="C10" s="102"/>
      <c r="D10" s="102"/>
      <c r="E10" s="102"/>
      <c r="F10" s="103"/>
    </row>
    <row r="11" spans="1:6" ht="26.25" x14ac:dyDescent="0.25">
      <c r="A11" s="1"/>
      <c r="B11" s="54" t="s">
        <v>16</v>
      </c>
      <c r="C11" s="54" t="s">
        <v>10</v>
      </c>
      <c r="D11" s="30"/>
      <c r="E11" s="54" t="s">
        <v>27</v>
      </c>
      <c r="F11" s="30"/>
    </row>
    <row r="12" spans="1:6" x14ac:dyDescent="0.25">
      <c r="A12" s="1"/>
      <c r="B12" s="58" t="s">
        <v>242</v>
      </c>
      <c r="C12" s="9">
        <v>0</v>
      </c>
      <c r="D12" s="14" t="s">
        <v>3</v>
      </c>
      <c r="E12" s="9">
        <v>0</v>
      </c>
      <c r="F12" s="14" t="s">
        <v>3</v>
      </c>
    </row>
    <row r="13" spans="1:6" x14ac:dyDescent="0.25">
      <c r="A13" s="1"/>
      <c r="B13" s="52" t="s">
        <v>78</v>
      </c>
      <c r="C13" s="12">
        <f>SUM(C12:C12)</f>
        <v>0</v>
      </c>
      <c r="D13" s="13" t="s">
        <v>3</v>
      </c>
      <c r="E13" s="12">
        <f>SUM(E12:E12)</f>
        <v>0</v>
      </c>
      <c r="F13" s="13" t="s">
        <v>3</v>
      </c>
    </row>
    <row r="14" spans="1:6" x14ac:dyDescent="0.25">
      <c r="A14" s="1"/>
      <c r="B14" s="52"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2AVLM1kynNnF4Md9zK055icz5zfCGFPI8G5pmonDauPAYwip8OdGBXAB2XWvxyl7S6VVZ/DGEPdEreS43y0WCQ==" saltValue="WsJQ2/JfChxFSOelUI/Ft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70" zoomScaleNormal="100" zoomScalePageLayoutView="7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iIpBcCk5+Rjza/GV3AubKwTsSFPsu70T0TtrquUYO0S53x728ONyJNffB1Djs4wtN9BxbDdjhqTy75ByM/jr/A==" saltValue="6AfzcpB3fBQDWaS2kTx6N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55" zoomScaleNormal="100" zoomScalePageLayoutView="55"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30023013.707211807</v>
      </c>
      <c r="D8" s="8" t="s">
        <v>3</v>
      </c>
      <c r="E8" s="1"/>
    </row>
    <row r="9" spans="1:5" ht="17.100000000000001" customHeight="1" x14ac:dyDescent="0.25">
      <c r="A9" s="1"/>
      <c r="B9" s="24" t="s">
        <v>33</v>
      </c>
      <c r="C9" s="7">
        <f>'Fane 10.1. Varige tillæg'!C18</f>
        <v>30273.207999999999</v>
      </c>
      <c r="D9" s="8" t="s">
        <v>3</v>
      </c>
      <c r="E9" s="1"/>
    </row>
    <row r="10" spans="1:5" ht="17.100000000000001" customHeight="1" x14ac:dyDescent="0.25">
      <c r="A10" s="1"/>
      <c r="B10" s="24" t="s">
        <v>34</v>
      </c>
      <c r="C10" s="9">
        <f>'Fane 10.1. Varige tillæg'!E18</f>
        <v>48526.839200000002</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1075186.3317905003</v>
      </c>
      <c r="D15" s="8" t="s">
        <v>3</v>
      </c>
      <c r="E15" s="1"/>
    </row>
    <row r="16" spans="1:5" ht="17.100000000000001" customHeight="1" x14ac:dyDescent="0.25">
      <c r="A16" s="1"/>
      <c r="B16" s="24" t="s">
        <v>9</v>
      </c>
      <c r="C16" s="9">
        <f>-SUM(C8,C9:C15)*'Fane 5. Individuelt eff. krav'!G9</f>
        <v>-623540.00172404619</v>
      </c>
      <c r="D16" s="8" t="s">
        <v>3</v>
      </c>
      <c r="E16" s="1"/>
    </row>
    <row r="17" spans="1:5" ht="17.100000000000001" customHeight="1" x14ac:dyDescent="0.25">
      <c r="A17" s="1"/>
      <c r="B17" s="24" t="s">
        <v>22</v>
      </c>
      <c r="C17" s="9">
        <f>-'Fane 4.1. Gen. krav - drift'!G49</f>
        <v>-346456.4186683796</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30207003.665809885</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14442093.025436159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f>SUM(C23:C26)</f>
        <v>0</v>
      </c>
      <c r="D27" s="11" t="s">
        <v>3</v>
      </c>
      <c r="E27" s="1"/>
    </row>
    <row r="28" spans="1:5" ht="15" customHeight="1" x14ac:dyDescent="0.25">
      <c r="A28" s="1"/>
      <c r="B28" s="26" t="s">
        <v>117</v>
      </c>
      <c r="C28" s="53"/>
      <c r="D28" s="19"/>
      <c r="E28" s="1"/>
    </row>
    <row r="29" spans="1:5" x14ac:dyDescent="0.25">
      <c r="A29" s="1"/>
      <c r="B29" s="72" t="s">
        <v>118</v>
      </c>
      <c r="C29" s="10">
        <f>'Fane 7. Kontrol af ØR2022'!E15</f>
        <v>-2259953</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42389143.691246048</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b2nSmKQrePvHgk6ZCun9faxd7Zrm92I8Cnhwcou+gbiVn4RfyU2pAu64HMqCGQ485SuYlnsQ4WeReHpzXfd1A==" saltValue="m+kimEWRW11ud4kcNecFL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30207003.665809885</v>
      </c>
      <c r="D8" s="8" t="s">
        <v>3</v>
      </c>
      <c r="E8" s="1"/>
    </row>
    <row r="9" spans="1:5" ht="15" customHeight="1" x14ac:dyDescent="0.25">
      <c r="A9" s="1"/>
      <c r="B9" s="29" t="s">
        <v>17</v>
      </c>
      <c r="C9" s="9">
        <f>SUM(C8:C8)*'Fane 13. Nøgletal'!C16</f>
        <v>2440725.8961974387</v>
      </c>
      <c r="D9" s="8" t="s">
        <v>3</v>
      </c>
      <c r="E9" s="1"/>
    </row>
    <row r="10" spans="1:5" ht="15" customHeight="1" x14ac:dyDescent="0.25">
      <c r="A10" s="1"/>
      <c r="B10" s="29" t="s">
        <v>9</v>
      </c>
      <c r="C10" s="9">
        <f>-SUM(C8:C9)*'Fane 5. Individuelt eff. krav'!G9</f>
        <v>-652954.59124014643</v>
      </c>
      <c r="D10" s="8" t="s">
        <v>3</v>
      </c>
      <c r="E10" s="1"/>
    </row>
    <row r="11" spans="1:5" ht="15" customHeight="1" x14ac:dyDescent="0.25">
      <c r="A11" s="1"/>
      <c r="B11" s="29" t="s">
        <v>22</v>
      </c>
      <c r="C11" s="9">
        <f>-'Fane 4.1. Gen. krav - drift'!G54</f>
        <v>-366961.09535084898</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31627813.875416327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15609014.141891401</v>
      </c>
      <c r="D15" s="11" t="s">
        <v>3</v>
      </c>
      <c r="E15" s="1"/>
    </row>
    <row r="16" spans="1:5" x14ac:dyDescent="0.25">
      <c r="A16" s="1"/>
      <c r="B16" s="26" t="s">
        <v>117</v>
      </c>
      <c r="C16" s="53"/>
      <c r="D16" s="19"/>
      <c r="E16" s="1"/>
    </row>
    <row r="17" spans="1:5" ht="15" customHeight="1" x14ac:dyDescent="0.25">
      <c r="A17" s="1"/>
      <c r="B17" s="72" t="s">
        <v>118</v>
      </c>
      <c r="C17" s="10">
        <f>'Fane 7. Kontrol af ØR2022'!E33</f>
        <v>-180000</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47056828.017307729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T0A/lUTZnOmzCIGtHSI6qX/Tn+1D83F9Pfzz9oBVRvO8gRYoUoNC3qpxrtgOLMc+jr293z3ITecZuRl0T110w==" saltValue="ju6uqc55MuMRLmSg0qDVT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31627813.875416327</v>
      </c>
      <c r="D8" s="8" t="s">
        <v>3</v>
      </c>
      <c r="E8" s="1"/>
    </row>
    <row r="9" spans="1:5" ht="15" customHeight="1" x14ac:dyDescent="0.25">
      <c r="A9" s="1"/>
      <c r="B9" s="29" t="s">
        <v>17</v>
      </c>
      <c r="C9" s="9">
        <f>SUM(C8:C8)*'Fane 13. Nøgletal'!C16</f>
        <v>2555527.3611336392</v>
      </c>
      <c r="D9" s="8" t="s">
        <v>3</v>
      </c>
      <c r="E9" s="1"/>
    </row>
    <row r="10" spans="1:5" ht="15" customHeight="1" x14ac:dyDescent="0.25">
      <c r="A10" s="1"/>
      <c r="B10" s="29" t="s">
        <v>9</v>
      </c>
      <c r="C10" s="9">
        <f>-SUM(C8:C9)*'Fane 5. Individuelt eff. krav'!G9</f>
        <v>-683666.8247309993</v>
      </c>
      <c r="D10" s="8" t="s">
        <v>3</v>
      </c>
      <c r="E10" s="1"/>
    </row>
    <row r="11" spans="1:5" ht="15" customHeight="1" x14ac:dyDescent="0.25">
      <c r="A11" s="1"/>
      <c r="B11" s="29" t="s">
        <v>22</v>
      </c>
      <c r="C11" s="9">
        <f>-'Fane 4.1. Gen. krav - drift'!G59</f>
        <v>-388679.32081809355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33110995.091000874</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16870222.484556224</v>
      </c>
      <c r="D15" s="11" t="s">
        <v>3</v>
      </c>
      <c r="E15" s="1"/>
    </row>
    <row r="16" spans="1:5" x14ac:dyDescent="0.25">
      <c r="A16" s="1"/>
      <c r="B16" s="52" t="s">
        <v>117</v>
      </c>
      <c r="C16" s="53"/>
      <c r="D16" s="19"/>
      <c r="E16" s="1"/>
    </row>
    <row r="17" spans="1:5" x14ac:dyDescent="0.25">
      <c r="A17" s="1"/>
      <c r="B17" s="54" t="s">
        <v>118</v>
      </c>
      <c r="C17" s="10">
        <f>'Fane 7. Kontrol af ØR2022'!E33</f>
        <v>-180000</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49801217.575557098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zcby7buKzDU1U/YPA73d0C5nZYcgBMPQTpi8+ygwHm9J262rDz0s4gdPdlTGURljj7ZGM8/n+B/hRMHG9qr2g==" saltValue="lDRmSuYrs6wpIRNgMqYxw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33110995.091000874</v>
      </c>
      <c r="D8" s="8" t="s">
        <v>3</v>
      </c>
      <c r="E8" s="1"/>
    </row>
    <row r="9" spans="1:5" ht="15" customHeight="1" x14ac:dyDescent="0.25">
      <c r="A9" s="1"/>
      <c r="B9" s="29" t="s">
        <v>17</v>
      </c>
      <c r="C9" s="9">
        <f>SUM(C8:C8)*'Fane 13. Nøgletal'!C16</f>
        <v>2675368.4033528706</v>
      </c>
      <c r="D9" s="8" t="s">
        <v>3</v>
      </c>
      <c r="E9" s="1"/>
    </row>
    <row r="10" spans="1:5" ht="15" customHeight="1" x14ac:dyDescent="0.25">
      <c r="A10" s="1"/>
      <c r="B10" s="29" t="s">
        <v>9</v>
      </c>
      <c r="C10" s="9">
        <f>-SUM(C8:C9)*'Fane 5. Individuelt eff. krav'!G9</f>
        <v>-715727.26988707483</v>
      </c>
      <c r="D10" s="8" t="s">
        <v>3</v>
      </c>
      <c r="E10" s="1"/>
    </row>
    <row r="11" spans="1:5" ht="15" customHeight="1" x14ac:dyDescent="0.25">
      <c r="A11" s="1"/>
      <c r="B11" s="29" t="s">
        <v>22</v>
      </c>
      <c r="C11" s="9">
        <f>-'Fane 4.1. Gen. krav - drift'!G64</f>
        <v>-411682.91774139169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34658953.306725278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18233336.461308368</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52892289.768033646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Uh3KlW/ikBC1DOwKDD93Pyo5ddSEauCPZ5AyzbmwyNvEaHTipaAwx0za1I3O8n4ydqyrYHhyTl+0ZAh6wzf1A==" saltValue="825KNqYLLnuBG0r/1a7Am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25633574.773746155</v>
      </c>
      <c r="D8" s="8" t="s">
        <v>3</v>
      </c>
      <c r="E8" s="1"/>
    </row>
    <row r="9" spans="1:5" x14ac:dyDescent="0.25">
      <c r="A9" s="1"/>
      <c r="B9" s="24" t="s">
        <v>33</v>
      </c>
      <c r="C9" s="7">
        <v>4172567.0280000004</v>
      </c>
      <c r="D9" s="8" t="s">
        <v>3</v>
      </c>
      <c r="E9" s="1"/>
    </row>
    <row r="10" spans="1:5" x14ac:dyDescent="0.25">
      <c r="A10" s="1"/>
      <c r="B10" s="24" t="s">
        <v>34</v>
      </c>
      <c r="C10" s="9">
        <v>112177.22760000001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1065092.1574447232</v>
      </c>
      <c r="D15" s="8" t="s">
        <v>3</v>
      </c>
      <c r="E15" s="1"/>
    </row>
    <row r="16" spans="1:5" x14ac:dyDescent="0.25">
      <c r="A16" s="1"/>
      <c r="B16" s="24" t="s">
        <v>9</v>
      </c>
      <c r="C16" s="9">
        <v>-619668.22373581759</v>
      </c>
      <c r="D16" s="8" t="s">
        <v>3</v>
      </c>
      <c r="E16" s="1"/>
    </row>
    <row r="17" spans="1:5" x14ac:dyDescent="0.25">
      <c r="A17" s="1"/>
      <c r="B17" s="24" t="s">
        <v>22</v>
      </c>
      <c r="C17" s="9">
        <v>-340729.25584325718</v>
      </c>
      <c r="D17" s="8" t="s">
        <v>3</v>
      </c>
      <c r="E17" s="1"/>
    </row>
    <row r="18" spans="1:5" x14ac:dyDescent="0.25">
      <c r="A18" s="1"/>
      <c r="B18" s="24" t="s">
        <v>23</v>
      </c>
      <c r="C18" s="9">
        <v>0</v>
      </c>
      <c r="D18" s="8" t="s">
        <v>3</v>
      </c>
      <c r="E18" s="1"/>
    </row>
    <row r="19" spans="1:5" x14ac:dyDescent="0.25">
      <c r="A19" s="1"/>
      <c r="B19" s="73" t="s">
        <v>19</v>
      </c>
      <c r="C19" s="10">
        <v>30023013.707211807</v>
      </c>
      <c r="D19" s="11" t="s">
        <v>3</v>
      </c>
      <c r="E19" s="1"/>
    </row>
    <row r="20" spans="1:5" x14ac:dyDescent="0.25">
      <c r="A20" s="1"/>
      <c r="B20" s="52" t="s">
        <v>11</v>
      </c>
      <c r="C20" s="53"/>
      <c r="D20" s="19"/>
      <c r="E20" s="1"/>
    </row>
    <row r="21" spans="1:5" x14ac:dyDescent="0.25">
      <c r="A21" s="1"/>
      <c r="B21" s="54" t="s">
        <v>11</v>
      </c>
      <c r="C21" s="10">
        <v>13796152.553596321</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-2259952.5594264674</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41559213.701381661</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6Clpct7veaPZZymWj+aGRsQ10dNk9vpfyk4LLpxpRZoDxJIibjmt9hUEoZi57xKX0rgqZfoG/5Y++4eFCOnAw==" saltValue="I3rXt3h9skcbOx+kcHMVv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55" zoomScaleNormal="100" zoomScalePageLayoutView="55"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12814979.532729449</v>
      </c>
      <c r="H5" s="14" t="s">
        <v>3</v>
      </c>
      <c r="I5" s="1"/>
    </row>
    <row r="6" spans="1:9" x14ac:dyDescent="0.25">
      <c r="A6" s="1"/>
      <c r="B6" s="104" t="s">
        <v>37</v>
      </c>
      <c r="C6" s="105"/>
      <c r="D6" s="105"/>
      <c r="E6" s="105"/>
      <c r="F6" s="106"/>
      <c r="G6" s="22">
        <f>G5*'Fane 13. Nøgletal'!C33</f>
        <v>256299.59065458897</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12718175.177339209</v>
      </c>
      <c r="H10" s="14" t="s">
        <v>3</v>
      </c>
      <c r="I10" s="1"/>
    </row>
    <row r="11" spans="1:9" x14ac:dyDescent="0.25">
      <c r="A11" s="1"/>
      <c r="B11" s="107" t="s">
        <v>228</v>
      </c>
      <c r="C11" s="108"/>
      <c r="D11" s="108"/>
      <c r="E11" s="108"/>
      <c r="F11" s="109"/>
      <c r="G11" s="47">
        <v>0</v>
      </c>
      <c r="H11" s="14" t="s">
        <v>3</v>
      </c>
      <c r="I11" s="1"/>
    </row>
    <row r="12" spans="1:9" x14ac:dyDescent="0.25">
      <c r="A12" s="1"/>
      <c r="B12" s="104" t="s">
        <v>39</v>
      </c>
      <c r="C12" s="105"/>
      <c r="D12" s="105"/>
      <c r="E12" s="105"/>
      <c r="F12" s="106"/>
      <c r="G12" s="22">
        <f>(G10+G11)*'Fane 13. Nøgletal'!C33</f>
        <v>254363.5035467842</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12674450.091079516</v>
      </c>
      <c r="H16" s="14" t="s">
        <v>3</v>
      </c>
      <c r="I16" s="1"/>
    </row>
    <row r="17" spans="1:9" x14ac:dyDescent="0.25">
      <c r="A17" s="1"/>
      <c r="B17" s="104" t="s">
        <v>100</v>
      </c>
      <c r="C17" s="105"/>
      <c r="D17" s="105"/>
      <c r="E17" s="105"/>
      <c r="F17" s="106"/>
      <c r="G17" s="47">
        <v>0</v>
      </c>
      <c r="H17" s="14" t="s">
        <v>3</v>
      </c>
      <c r="I17" s="1"/>
    </row>
    <row r="18" spans="1:9" x14ac:dyDescent="0.25">
      <c r="A18" s="1"/>
      <c r="B18" s="107" t="s">
        <v>229</v>
      </c>
      <c r="C18" s="108"/>
      <c r="D18" s="108"/>
      <c r="E18" s="108"/>
      <c r="F18" s="109"/>
      <c r="G18" s="47">
        <v>0</v>
      </c>
      <c r="H18" s="14" t="s">
        <v>3</v>
      </c>
      <c r="I18" s="1"/>
    </row>
    <row r="19" spans="1:9" x14ac:dyDescent="0.25">
      <c r="A19" s="1"/>
      <c r="B19" s="104" t="s">
        <v>41</v>
      </c>
      <c r="C19" s="105"/>
      <c r="D19" s="105"/>
      <c r="E19" s="105"/>
      <c r="F19" s="106"/>
      <c r="G19" s="22">
        <f>SUM(G16:G18)*'Fane 13. Nøgletal'!C33</f>
        <v>253489.00182159033</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12630875.331666384</v>
      </c>
      <c r="H23" s="14" t="s">
        <v>3</v>
      </c>
      <c r="I23" s="1"/>
    </row>
    <row r="24" spans="1:9" x14ac:dyDescent="0.25">
      <c r="A24" s="1"/>
      <c r="B24" s="107" t="s">
        <v>230</v>
      </c>
      <c r="C24" s="108"/>
      <c r="D24" s="108"/>
      <c r="E24" s="108"/>
      <c r="F24" s="109"/>
      <c r="G24" s="47">
        <v>0</v>
      </c>
      <c r="H24" s="14" t="s">
        <v>3</v>
      </c>
      <c r="I24" s="1"/>
    </row>
    <row r="25" spans="1:9" x14ac:dyDescent="0.25">
      <c r="A25" s="1"/>
      <c r="B25" s="104" t="s">
        <v>43</v>
      </c>
      <c r="C25" s="105"/>
      <c r="D25" s="105"/>
      <c r="E25" s="105"/>
      <c r="F25" s="106"/>
      <c r="G25" s="22">
        <f>(G23+G24)*'Fane 13. Nøgletal'!C33</f>
        <v>252617.50663332769</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12529272.570498459</v>
      </c>
      <c r="H29" s="14" t="s">
        <v>3</v>
      </c>
      <c r="I29" s="1"/>
    </row>
    <row r="30" spans="1:9" x14ac:dyDescent="0.25">
      <c r="A30" s="1"/>
      <c r="B30" s="104" t="s">
        <v>231</v>
      </c>
      <c r="C30" s="105"/>
      <c r="D30" s="105"/>
      <c r="E30" s="105"/>
      <c r="F30" s="106"/>
      <c r="G30" s="47">
        <v>37247.473078200004</v>
      </c>
      <c r="H30" s="14" t="s">
        <v>3</v>
      </c>
      <c r="I30" s="1"/>
    </row>
    <row r="31" spans="1:9" x14ac:dyDescent="0.25">
      <c r="A31" s="1"/>
      <c r="B31" s="104" t="s">
        <v>115</v>
      </c>
      <c r="C31" s="105"/>
      <c r="D31" s="105"/>
      <c r="E31" s="105"/>
      <c r="F31" s="106"/>
      <c r="G31" s="22">
        <f>(G29+G30)*'Fane 13. Nøgletal'!C33</f>
        <v>251330.4008715332</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12465434.956346128</v>
      </c>
      <c r="H35" s="14" t="s">
        <v>3</v>
      </c>
      <c r="I35" s="1"/>
    </row>
    <row r="36" spans="1:9" x14ac:dyDescent="0.25">
      <c r="A36" s="1"/>
      <c r="B36" s="104" t="s">
        <v>232</v>
      </c>
      <c r="C36" s="105"/>
      <c r="D36" s="105"/>
      <c r="E36" s="105"/>
      <c r="F36" s="106"/>
      <c r="G36" s="47">
        <v>63388.300965080016</v>
      </c>
      <c r="H36" s="14" t="s">
        <v>3</v>
      </c>
      <c r="I36" s="1"/>
    </row>
    <row r="37" spans="1:9" x14ac:dyDescent="0.25">
      <c r="A37" s="1"/>
      <c r="B37" s="104" t="s">
        <v>123</v>
      </c>
      <c r="C37" s="105"/>
      <c r="D37" s="105"/>
      <c r="E37" s="105"/>
      <c r="F37" s="106"/>
      <c r="G37" s="22">
        <f>(G35+G36)*'Fane 13. Nøgletal'!C33</f>
        <v>250576.46514622416</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12715352.377966058</v>
      </c>
      <c r="H41" s="14" t="s">
        <v>3</v>
      </c>
      <c r="I41" s="1"/>
    </row>
    <row r="42" spans="1:9" x14ac:dyDescent="0.25">
      <c r="A42" s="1"/>
      <c r="B42" s="104" t="s">
        <v>156</v>
      </c>
      <c r="C42" s="105"/>
      <c r="D42" s="105"/>
      <c r="E42" s="105"/>
      <c r="F42" s="106"/>
      <c r="G42" s="22">
        <v>4321110.4141968004</v>
      </c>
      <c r="H42" s="14" t="s">
        <v>3</v>
      </c>
      <c r="I42" s="1"/>
    </row>
    <row r="43" spans="1:9" x14ac:dyDescent="0.25">
      <c r="A43" s="1"/>
      <c r="B43" s="104" t="s">
        <v>166</v>
      </c>
      <c r="C43" s="105"/>
      <c r="D43" s="105"/>
      <c r="E43" s="105"/>
      <c r="F43" s="106"/>
      <c r="G43" s="22">
        <f>(G41+G42)*'Fane 13. Nøgletal'!C33</f>
        <v>340729.25584325718</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17290101.650212578</v>
      </c>
      <c r="H47" s="14" t="s">
        <v>3</v>
      </c>
      <c r="I47" s="1"/>
    </row>
    <row r="48" spans="1:9" x14ac:dyDescent="0.25">
      <c r="A48" s="1"/>
      <c r="B48" s="104" t="s">
        <v>206</v>
      </c>
      <c r="C48" s="105"/>
      <c r="D48" s="105"/>
      <c r="E48" s="105"/>
      <c r="F48" s="106"/>
      <c r="G48" s="22">
        <f>('Fane 2.1. Økonomisk ramme 2024'!C9+'Fane 2.1. Økonomisk ramme 2024'!C11+'Fane 2.1. Økonomisk ramme 2024'!C13)*(1+'Fane 13. Nøgletal'!C16)</f>
        <v>32719.283206399999</v>
      </c>
      <c r="H48" s="14" t="s">
        <v>3</v>
      </c>
      <c r="I48" s="1"/>
    </row>
    <row r="49" spans="1:9" x14ac:dyDescent="0.25">
      <c r="A49" s="1"/>
      <c r="B49" s="104" t="s">
        <v>167</v>
      </c>
      <c r="C49" s="105"/>
      <c r="D49" s="105"/>
      <c r="E49" s="105"/>
      <c r="F49" s="106"/>
      <c r="G49" s="22">
        <f>G47*'Fane 13. Nøgletal'!C33+G48*'Fane 13. Nøgletal'!C33</f>
        <v>346456.4186683796</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18348054.767542448</v>
      </c>
      <c r="H53" s="14" t="s">
        <v>3</v>
      </c>
      <c r="I53" s="1"/>
    </row>
    <row r="54" spans="1:9" x14ac:dyDescent="0.25">
      <c r="A54" s="1"/>
      <c r="B54" s="104" t="s">
        <v>135</v>
      </c>
      <c r="C54" s="105"/>
      <c r="D54" s="105"/>
      <c r="E54" s="105"/>
      <c r="F54" s="106"/>
      <c r="G54" s="22">
        <f>(G53)*'Fane 13. Nøgletal'!C33</f>
        <v>366961.09535084898</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19433966.040904678</v>
      </c>
      <c r="H58" s="14" t="s">
        <v>3</v>
      </c>
      <c r="I58" s="1"/>
    </row>
    <row r="59" spans="1:9" x14ac:dyDescent="0.25">
      <c r="A59" s="1"/>
      <c r="B59" s="104" t="s">
        <v>146</v>
      </c>
      <c r="C59" s="105"/>
      <c r="D59" s="105"/>
      <c r="E59" s="105"/>
      <c r="F59" s="106"/>
      <c r="G59" s="22">
        <f>(G58)*'Fane 13. Nøgletal'!C33</f>
        <v>388679.32081809355</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20584145.887069583</v>
      </c>
      <c r="H63" s="14" t="s">
        <v>3</v>
      </c>
      <c r="I63" s="1"/>
    </row>
    <row r="64" spans="1:9" x14ac:dyDescent="0.25">
      <c r="A64" s="1"/>
      <c r="B64" s="104" t="s">
        <v>222</v>
      </c>
      <c r="C64" s="105"/>
      <c r="D64" s="105"/>
      <c r="E64" s="105"/>
      <c r="F64" s="106"/>
      <c r="G64" s="22">
        <f>(G63)*'Fane 13. Nøgletal'!C33</f>
        <v>411682.91774139169</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6iQnHNNo0UlxKaR+alT3RA8dWgGUFnRSBIUuRJCW3nV2yB/7T/PitlO+0wBUc+zZOt1dJKnDVEFTrPkzzOHTZA==" saltValue="rSHS1YFpj+Dwjk+G8Xlqc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70" zoomScaleNormal="120" zoomScalePageLayoutView="7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15961109.427687902</v>
      </c>
      <c r="H5" s="14" t="s">
        <v>3</v>
      </c>
      <c r="I5" s="1"/>
    </row>
    <row r="6" spans="1:9" x14ac:dyDescent="0.25">
      <c r="A6" s="1"/>
      <c r="B6" s="104" t="s">
        <v>49</v>
      </c>
      <c r="C6" s="105"/>
      <c r="D6" s="105"/>
      <c r="E6" s="105"/>
      <c r="F6" s="106"/>
      <c r="G6" s="22">
        <f>G5*'Fane 13. Nøgletal'!C21</f>
        <v>145246.0957919599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16016724.796211019</v>
      </c>
      <c r="H10" s="14" t="s">
        <v>3</v>
      </c>
      <c r="I10" s="1"/>
    </row>
    <row r="11" spans="1:9" x14ac:dyDescent="0.25">
      <c r="A11" s="1"/>
      <c r="B11" s="107" t="s">
        <v>54</v>
      </c>
      <c r="C11" s="108"/>
      <c r="D11" s="108"/>
      <c r="E11" s="108"/>
      <c r="F11" s="109"/>
      <c r="G11" s="48">
        <v>0</v>
      </c>
      <c r="H11" s="14" t="s">
        <v>3</v>
      </c>
      <c r="I11" s="1"/>
    </row>
    <row r="12" spans="1:9" x14ac:dyDescent="0.25">
      <c r="A12" s="1"/>
      <c r="B12" s="104" t="s">
        <v>55</v>
      </c>
      <c r="C12" s="105"/>
      <c r="D12" s="105"/>
      <c r="E12" s="105"/>
      <c r="F12" s="106"/>
      <c r="G12" s="22">
        <f>G10*'Fane 13. Nøgletal'!C21+G11*'Fane 13. Nøgletal'!C22</f>
        <v>145752.19564552029</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16139192.037515054</v>
      </c>
      <c r="H16" s="14" t="s">
        <v>3</v>
      </c>
      <c r="I16" s="1"/>
    </row>
    <row r="17" spans="1:9" x14ac:dyDescent="0.25">
      <c r="A17" s="1"/>
      <c r="B17" s="104" t="s">
        <v>101</v>
      </c>
      <c r="C17" s="105"/>
      <c r="D17" s="105"/>
      <c r="E17" s="105"/>
      <c r="F17" s="106"/>
      <c r="G17" s="47">
        <v>-993705.55698701786</v>
      </c>
      <c r="H17" s="14" t="s">
        <v>3</v>
      </c>
      <c r="I17" s="1"/>
    </row>
    <row r="18" spans="1:9" x14ac:dyDescent="0.25">
      <c r="A18" s="1"/>
      <c r="B18" s="107" t="s">
        <v>58</v>
      </c>
      <c r="C18" s="108"/>
      <c r="D18" s="108"/>
      <c r="E18" s="108"/>
      <c r="F18" s="109"/>
      <c r="G18" s="47">
        <v>1072354.0161692698</v>
      </c>
      <c r="H18" s="14" t="s">
        <v>3</v>
      </c>
      <c r="I18" s="1"/>
    </row>
    <row r="19" spans="1:9" x14ac:dyDescent="0.25">
      <c r="A19" s="1"/>
      <c r="B19" s="104" t="s">
        <v>59</v>
      </c>
      <c r="C19" s="105"/>
      <c r="D19" s="105"/>
      <c r="E19" s="105"/>
      <c r="F19" s="106"/>
      <c r="G19" s="22">
        <f>(G16+G17+G18)*'Fane 13. Nøgletal'!C23</f>
        <v>141095.21232126656</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16348442.279681994</v>
      </c>
      <c r="H23" s="14" t="s">
        <v>3</v>
      </c>
      <c r="I23" s="1"/>
    </row>
    <row r="24" spans="1:9" x14ac:dyDescent="0.25">
      <c r="A24" s="1"/>
      <c r="B24" s="107" t="s">
        <v>62</v>
      </c>
      <c r="C24" s="108"/>
      <c r="D24" s="108"/>
      <c r="E24" s="108"/>
      <c r="F24" s="109"/>
      <c r="G24" s="47">
        <v>18154.652914339924</v>
      </c>
      <c r="H24" s="14" t="s">
        <v>3</v>
      </c>
      <c r="I24" s="1"/>
    </row>
    <row r="25" spans="1:9" x14ac:dyDescent="0.25">
      <c r="A25" s="1"/>
      <c r="B25" s="104" t="s">
        <v>63</v>
      </c>
      <c r="C25" s="105"/>
      <c r="D25" s="105"/>
      <c r="E25" s="105"/>
      <c r="F25" s="106"/>
      <c r="G25" s="22">
        <f>G23*'Fane 13. Nøgletal'!C23+G24*'Fane 13. Nøgletal'!C24</f>
        <v>142747.03997600058</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16421780.861310299</v>
      </c>
      <c r="H29" s="14" t="s">
        <v>3</v>
      </c>
      <c r="I29" s="1"/>
    </row>
    <row r="30" spans="1:9" x14ac:dyDescent="0.25">
      <c r="A30" s="1"/>
      <c r="B30" s="104" t="s">
        <v>113</v>
      </c>
      <c r="C30" s="105"/>
      <c r="D30" s="105"/>
      <c r="E30" s="105"/>
      <c r="F30" s="106"/>
      <c r="G30" s="47">
        <v>471003.54362711997</v>
      </c>
      <c r="H30" s="14" t="s">
        <v>3</v>
      </c>
      <c r="I30" s="1"/>
    </row>
    <row r="31" spans="1:9" x14ac:dyDescent="0.25">
      <c r="A31" s="1"/>
      <c r="B31" s="104" t="s">
        <v>120</v>
      </c>
      <c r="C31" s="105"/>
      <c r="D31" s="105"/>
      <c r="E31" s="105"/>
      <c r="F31" s="106"/>
      <c r="G31" s="22">
        <f>(G29+G30)*'Fane 13. Nøgletal'!C25</f>
        <v>464551.57113577903</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16628657.274374019</v>
      </c>
      <c r="H35" s="14" t="s">
        <v>3</v>
      </c>
      <c r="I35" s="1"/>
    </row>
    <row r="36" spans="1:9" x14ac:dyDescent="0.25">
      <c r="A36" s="1"/>
      <c r="B36" s="104" t="s">
        <v>129</v>
      </c>
      <c r="C36" s="105"/>
      <c r="D36" s="105"/>
      <c r="E36" s="105"/>
      <c r="F36" s="106"/>
      <c r="G36" s="22">
        <v>14421.714221030003</v>
      </c>
      <c r="H36" s="14" t="s">
        <v>3</v>
      </c>
      <c r="I36" s="1"/>
    </row>
    <row r="37" spans="1:9" x14ac:dyDescent="0.25">
      <c r="A37" s="1"/>
      <c r="B37" s="104" t="s">
        <v>125</v>
      </c>
      <c r="C37" s="105"/>
      <c r="D37" s="105"/>
      <c r="E37" s="105"/>
      <c r="F37" s="106"/>
      <c r="G37" s="22">
        <f>G35*'Fane 13. Nøgletal'!C25+G36*'Fane 13. Nøgletal'!C26</f>
        <v>457501.51641575678</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16761784.030188877</v>
      </c>
      <c r="H41" s="14" t="s">
        <v>3</v>
      </c>
      <c r="I41" s="1"/>
    </row>
    <row r="42" spans="1:9" x14ac:dyDescent="0.25">
      <c r="A42" s="1"/>
      <c r="B42" s="104" t="s">
        <v>169</v>
      </c>
      <c r="C42" s="105"/>
      <c r="D42" s="105"/>
      <c r="E42" s="105"/>
      <c r="F42" s="106"/>
      <c r="G42" s="9">
        <v>116170.73690256002</v>
      </c>
      <c r="H42" s="14" t="s">
        <v>3</v>
      </c>
      <c r="I42" s="1"/>
    </row>
    <row r="43" spans="1:9" x14ac:dyDescent="0.25">
      <c r="A43" s="1"/>
      <c r="B43" s="104" t="s">
        <v>65</v>
      </c>
      <c r="C43" s="105"/>
      <c r="D43" s="105"/>
      <c r="E43" s="105"/>
      <c r="F43" s="106"/>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17478809.956799895</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52447.807807360005</v>
      </c>
      <c r="H48" s="14" t="s">
        <v>3</v>
      </c>
      <c r="I48" s="1"/>
    </row>
    <row r="49" spans="1:9" x14ac:dyDescent="0.25">
      <c r="A49" s="1"/>
      <c r="B49" s="104" t="s">
        <v>211</v>
      </c>
      <c r="C49" s="105"/>
      <c r="D49" s="105"/>
      <c r="E49" s="105"/>
      <c r="F49" s="106"/>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18947783.391987521</v>
      </c>
      <c r="H53" s="14" t="s">
        <v>3</v>
      </c>
      <c r="I53" s="1"/>
    </row>
    <row r="54" spans="1:9" x14ac:dyDescent="0.25">
      <c r="A54" s="1"/>
      <c r="B54" s="104" t="s">
        <v>132</v>
      </c>
      <c r="C54" s="105"/>
      <c r="D54" s="105"/>
      <c r="E54" s="105"/>
      <c r="F54" s="106"/>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20478764.290060114</v>
      </c>
      <c r="H58" s="14" t="s">
        <v>3</v>
      </c>
      <c r="I58" s="1"/>
    </row>
    <row r="59" spans="1:9" x14ac:dyDescent="0.25">
      <c r="A59" s="1"/>
      <c r="B59" s="104" t="s">
        <v>149</v>
      </c>
      <c r="C59" s="105"/>
      <c r="D59" s="105"/>
      <c r="E59" s="105"/>
      <c r="F59" s="106"/>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22133448.44469697</v>
      </c>
      <c r="H63" s="14" t="s">
        <v>3</v>
      </c>
      <c r="I63" s="1"/>
    </row>
    <row r="64" spans="1:9" x14ac:dyDescent="0.25">
      <c r="A64" s="1"/>
      <c r="B64" s="104" t="s">
        <v>225</v>
      </c>
      <c r="C64" s="105"/>
      <c r="D64" s="105"/>
      <c r="E64" s="105"/>
      <c r="F64" s="106"/>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yLpO0kREw+KVaV0ugdyYQd5e6E9Tz0+idJfx2tacB3iu01sompLiztsGR0LQ1E9VmLQvhCE6CSY7TxNXS83aqA==" saltValue="jgS+A6/fjVjtcFXZ4piYT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55" zoomScaleNormal="100" zoomScalePageLayoutView="55"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51">
        <v>0.02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eVXUGTJWLy50dv6dYj70kt2yzRS5Xgs74cSiBgxMuvwBu1IDxy7w1h32tWSVcnHNPsH9H4UxJvORqcqbcWYWdQ==" saltValue="Ud2IShfZWui4wvuOxf7f6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2023-09-06T10:45:46Z</dcterms:modified>
</cp:coreProperties>
</file>