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Albertslund AS (S04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3"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<sst xmlns="http://schemas.openxmlformats.org/spreadsheetml/2006/main" count="605" uniqueCount="288">
  <si>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</si>
  <si>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</si>
  <si>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</si>
  <si>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</si>
  <si>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</si>
  <si>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</si>
  <si>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</si>
  <si>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</si>
  <si>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</si>
  <si>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</si>
  <si>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</si>
  <si>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</si>
  <si>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</si>
  <si>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</si>
  <si>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</si>
  <si>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</si>
  <si>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</si>
  <si>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</si>
  <si>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</si>
  <si>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</si>
  <si>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</si>
  <si>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</si>
  <si>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</si>
  <si>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</si>
  <si>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</si>
  <si>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</si>
  <si>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</si>
  <si>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</si>
  <si>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</si>
  <si>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</si>
  <si>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</si>
  <si>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</si>
  <si>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</si>
  <si>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</si>
  <si>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</si>
  <si>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</si>
  <si>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</si>
  <si>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</si>
  <si>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</si>
  <si>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</si>
  <si>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</si>
  <si>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</si>
  <si>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</si>
  <si>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</si>
  <si>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</si>
  <si>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</si>
  <si>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</si>
  <si>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</si>
  <si>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</si>
  <si>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</si>
  <si>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</si>
  <si>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</si>
  <si>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</si>
  <si>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</si>
  <si>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</si>
  <si>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</si>
  <si>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</si>
  <si>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</si>
  <si>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</si>
  <si>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</si>
  <si>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</si>
  <si>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</si>
  <si>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</si>
  <si>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</si>
  <si>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</si>
  <si>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</si>
  <si>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</si>
  <si>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</si>
  <si>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</si>
  <si>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</si>
  <si>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</si>
  <si>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</si>
  <si>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</si>
  <si>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</si>
  <si>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</si>
  <si>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</si>
  <si>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</si>
  <si>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</si>
  <si>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</si>
  <si>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</si>
  <si>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</si>
  <si>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</si>
  <si>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</si>
  <si>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</si>
  <si>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</si>
  <si>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</si>
  <si>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</si>
  <si>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</si>
  <si>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</si>
  <si>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</si>
  <si>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</si>
  <si>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</si>
  <si>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</si>
  <si>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</si>
  <si>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</si>
  <si>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</si>
  <si>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</si>
  <si>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</si>
  <si>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</si>
  <si>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</si>
  <si>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</si>
  <si>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</si>
  <si>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</si>
  <si>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</si>
  <si>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</si>
  <si>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</si>
  <si>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</si>
  <si>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</si>
  <si>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</si>
  <si>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</si>
  <si>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</si>
  <si>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</si>
  <si>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</si>
  <si>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</si>
  <si>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</si>
  <si>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</si>
  <si>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</si>
  <si>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</si>
  <si>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</si>
  <si>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</si>
  <si>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</si>
  <si>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</si>
  <si>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</si>
  <si>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</si>
  <si>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</si>
  <si>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</si>
  <si>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</si>
  <si>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</si>
  <si>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</si>
  <si>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</si>
  <si>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</si>
  <si>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</si>
  <si>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</si>
  <si>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</si>
  <si>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</si>
  <si>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</si>
  <si>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</si>
  <si>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</si>
  <si>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</si>
  <si>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</si>
  <si>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</si>
  <si>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</si>
  <si>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</si>
  <si>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</si>
  <si>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</si>
  <si>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</si>
  <si>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</si>
  <si>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</si>
  <si>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</si>
  <si>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</si>
  <si>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</si>
  <si>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</si>
  <si>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</si>
  <si>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</si>
  <si>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</si>
  <si>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</si>
  <si>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</si>
  <si>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</si>
  <si>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</si>
  <si>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</si>
  <si>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</si>
  <si>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</si>
  <si>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</si>
  <si>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</si>
  <si>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</si>
  <si>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</si>
  <si>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</si>
  <si>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</si>
  <si>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</si>
  <si>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</si>
  <si>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</si>
  <si>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</si>
  <si>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</si>
  <si>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</si>
  <si>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</si>
  <si>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</si>
  <si>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</si>
  <si>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</si>
  <si>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</si>
  <si>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</si>
  <si>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</si>
  <si>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</si>
  <si>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</si>
  <si>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</si>
  <si>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</si>
  <si>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</si>
  <si>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</si>
  <si>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</si>
  <si>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</si>
  <si>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</si>
  <si>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</si>
  <si>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</si>
  <si>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</si>
  <si>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</si>
  <si>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</si>
  <si>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</si>
  <si>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</si>
  <si>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</si>
  <si>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</si>
  <si>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</si>
  <si>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</si>
  <si>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</si>
  <si>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</si>
  <si>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</si>
  <si>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</si>
  <si>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</si>
  <si>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</si>
  <si>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</si>
  <si>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</si>
  <si>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</si>
  <si>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</si>
  <si>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</si>
  <si>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</si>
  <si>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</si>
  <si>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</si>
  <si>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</si>
  <si>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</si>
  <si>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</si>
  <si>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</si>
  <si>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</si>
  <si>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</si>
  <si>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</si>
  <si>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</si>
  <si>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</si>
  <si>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</si>
  <si>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</si>
  <si>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</si>
  <si>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</si>
  <si>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</si>
  <si>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</si>
  <si>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</si>
  <si>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</si>
  <si>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</si>
  <si>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</si>
  <si>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</si>
  <si>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</si>
  <si>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</si>
  <si>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</si>
  <si>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</si>
  <si>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</si>
  <si>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</si>
  <si>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</si>
  <si>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</si>
  <si>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</si>
  <si>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</si>
  <si>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</si>
  <si>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</si>
  <si>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</si>
  <si>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</si>
  <si>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</si>
  <si>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</si>
  <si>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</si>
  <si>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</si>
  <si>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</si>
  <si>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</si>
  <si>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</si>
  <si>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</si>
  <si>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</si>
  <si>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</si>
  <si>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</si>
  <si>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</si>
  <si>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</si>
  <si>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</si>
  <si>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</si>
  <si>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</si>
  <si>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</si>
  <si>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</si>
  <si>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</si>
  <si>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</si>
  <si>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</si>
  <si>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</si>
  <si>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</si>
  <si>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</si>
  <si>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</si>
  <si>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</si>
  <si>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</si>
  <si>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</si>
  <si>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</si>
  <si>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</si>
  <si>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</si>
  <si>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</si>
  <si>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</si>
  <si>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</si>
  <si>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Byggemodning</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</si>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</sst>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0"/>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166" fontId="8" fillId="8"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6" t="s">
        <v>4</v>
      </c>
      <c r="E6" s="106"/>
      <c r="F6" s="106"/>
      <c r="G6" s="106"/>
      <c r="H6" s="3"/>
      <c r="I6" s="1"/>
    </row>
    <row r="7" spans="1:9" ht="15" customHeight="1" x14ac:dyDescent="0.25">
      <c r="A7" s="1"/>
      <c r="B7" s="1"/>
      <c r="C7" s="3"/>
      <c r="D7" s="106"/>
      <c r="E7" s="106"/>
      <c r="F7" s="106"/>
      <c r="G7" s="106"/>
      <c r="H7" s="3"/>
      <c r="I7" s="1"/>
    </row>
    <row r="8" spans="1:9" ht="15.75" x14ac:dyDescent="0.25">
      <c r="A8" s="1"/>
      <c r="B8" s="1"/>
      <c r="C8" s="4"/>
      <c r="D8" s="114" t="s">
        <v>225</v>
      </c>
      <c r="E8" s="114"/>
      <c r="F8" s="114"/>
      <c r="G8" s="114"/>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3" t="s">
        <v>5</v>
      </c>
      <c r="E11" s="113"/>
      <c r="F11" s="113"/>
      <c r="G11" s="113"/>
      <c r="H11" s="5"/>
      <c r="I11" s="1"/>
    </row>
    <row r="12" spans="1:9" x14ac:dyDescent="0.25">
      <c r="A12" s="1"/>
      <c r="B12" s="1"/>
      <c r="C12" s="1"/>
      <c r="D12" s="1"/>
      <c r="E12" s="1"/>
      <c r="F12" s="1"/>
      <c r="G12" s="1"/>
      <c r="H12" s="5"/>
      <c r="I12" s="1"/>
    </row>
    <row r="13" spans="1:9" x14ac:dyDescent="0.25">
      <c r="A13" s="1"/>
      <c r="B13" s="1"/>
      <c r="C13" s="6" t="s">
        <v>6</v>
      </c>
      <c r="D13" s="118" t="s">
        <v>169</v>
      </c>
      <c r="E13" s="119"/>
      <c r="F13" s="119"/>
      <c r="G13" s="120"/>
      <c r="H13" s="5"/>
      <c r="I13" s="1"/>
    </row>
    <row r="14" spans="1:9" x14ac:dyDescent="0.25">
      <c r="A14" s="1"/>
      <c r="B14" s="1"/>
      <c r="C14" s="6" t="s">
        <v>16</v>
      </c>
      <c r="D14" s="103" t="s">
        <v>235</v>
      </c>
      <c r="E14" s="104"/>
      <c r="F14" s="104"/>
      <c r="G14" s="105"/>
      <c r="H14" s="5"/>
      <c r="I14" s="1"/>
    </row>
    <row r="15" spans="1:9" x14ac:dyDescent="0.25">
      <c r="A15" s="1"/>
      <c r="B15" s="1"/>
      <c r="C15" s="6" t="s">
        <v>34</v>
      </c>
      <c r="D15" s="103" t="s">
        <v>170</v>
      </c>
      <c r="E15" s="104"/>
      <c r="F15" s="104"/>
      <c r="G15" s="105"/>
      <c r="H15" s="5"/>
      <c r="I15" s="1"/>
    </row>
    <row r="16" spans="1:9" x14ac:dyDescent="0.25">
      <c r="A16" s="1"/>
      <c r="B16" s="1"/>
      <c r="C16" s="6" t="s">
        <v>35</v>
      </c>
      <c r="D16" s="103" t="s">
        <v>182</v>
      </c>
      <c r="E16" s="104"/>
      <c r="F16" s="104"/>
      <c r="G16" s="105"/>
      <c r="H16" s="5"/>
      <c r="I16" s="1"/>
    </row>
    <row r="17" spans="1:9" x14ac:dyDescent="0.25">
      <c r="A17" s="1"/>
      <c r="B17" s="1"/>
      <c r="C17" s="6" t="s">
        <v>119</v>
      </c>
      <c r="D17" s="103" t="s">
        <v>183</v>
      </c>
      <c r="E17" s="104"/>
      <c r="F17" s="104"/>
      <c r="G17" s="105"/>
      <c r="H17" s="5"/>
      <c r="I17" s="1"/>
    </row>
    <row r="18" spans="1:9" x14ac:dyDescent="0.25">
      <c r="A18" s="1"/>
      <c r="B18" s="1"/>
      <c r="C18" s="6" t="s">
        <v>106</v>
      </c>
      <c r="D18" s="115" t="s">
        <v>95</v>
      </c>
      <c r="E18" s="116"/>
      <c r="F18" s="116"/>
      <c r="G18" s="117"/>
      <c r="H18" s="5"/>
      <c r="I18" s="1"/>
    </row>
    <row r="19" spans="1:9" x14ac:dyDescent="0.25">
      <c r="A19" s="1"/>
      <c r="B19" s="1"/>
      <c r="C19" s="6" t="s">
        <v>107</v>
      </c>
      <c r="D19" s="115" t="s">
        <v>96</v>
      </c>
      <c r="E19" s="116"/>
      <c r="F19" s="116"/>
      <c r="G19" s="117"/>
      <c r="H19" s="5"/>
      <c r="I19" s="1"/>
    </row>
    <row r="20" spans="1:9" x14ac:dyDescent="0.25">
      <c r="A20" s="1"/>
      <c r="B20" s="1"/>
      <c r="C20" s="6" t="s">
        <v>7</v>
      </c>
      <c r="D20" s="115" t="s">
        <v>10</v>
      </c>
      <c r="E20" s="116"/>
      <c r="F20" s="116"/>
      <c r="G20" s="117"/>
      <c r="H20" s="5"/>
      <c r="I20" s="1"/>
    </row>
    <row r="21" spans="1:9" x14ac:dyDescent="0.25">
      <c r="A21" s="1"/>
      <c r="B21" s="1"/>
      <c r="C21" s="6" t="s">
        <v>108</v>
      </c>
      <c r="D21" s="107" t="s">
        <v>12</v>
      </c>
      <c r="E21" s="108"/>
      <c r="F21" s="108"/>
      <c r="G21" s="109"/>
      <c r="H21" s="5"/>
      <c r="I21" s="1"/>
    </row>
    <row r="22" spans="1:9" x14ac:dyDescent="0.25">
      <c r="A22" s="1"/>
      <c r="B22" s="1"/>
      <c r="C22" s="6" t="s">
        <v>83</v>
      </c>
      <c r="D22" s="110" t="s">
        <v>184</v>
      </c>
      <c r="E22" s="111"/>
      <c r="F22" s="111"/>
      <c r="G22" s="112"/>
      <c r="H22" s="5"/>
      <c r="I22" s="1"/>
    </row>
    <row r="23" spans="1:9" x14ac:dyDescent="0.25">
      <c r="A23" s="1"/>
      <c r="B23" s="1"/>
      <c r="C23" s="6" t="s">
        <v>8</v>
      </c>
      <c r="D23" s="110" t="s">
        <v>253</v>
      </c>
      <c r="E23" s="111"/>
      <c r="F23" s="111"/>
      <c r="G23" s="112"/>
      <c r="H23" s="5"/>
      <c r="I23" s="1"/>
    </row>
    <row r="24" spans="1:9" x14ac:dyDescent="0.25">
      <c r="A24" s="1"/>
      <c r="B24" s="1"/>
      <c r="C24" s="6" t="s">
        <v>9</v>
      </c>
      <c r="D24" s="110" t="s">
        <v>185</v>
      </c>
      <c r="E24" s="111"/>
      <c r="F24" s="111"/>
      <c r="G24" s="112"/>
      <c r="H24" s="5"/>
      <c r="I24" s="1"/>
    </row>
    <row r="25" spans="1:9" x14ac:dyDescent="0.25">
      <c r="A25" s="1"/>
      <c r="B25" s="1"/>
      <c r="C25" s="6" t="s">
        <v>246</v>
      </c>
      <c r="D25" s="110" t="s">
        <v>237</v>
      </c>
      <c r="E25" s="111"/>
      <c r="F25" s="111"/>
      <c r="G25" s="112"/>
      <c r="H25" s="1"/>
      <c r="I25" s="1"/>
    </row>
    <row r="26" spans="1:9" x14ac:dyDescent="0.25">
      <c r="A26" s="1"/>
      <c r="B26" s="1"/>
      <c r="C26" s="6" t="s">
        <v>247</v>
      </c>
      <c r="D26" s="110" t="s">
        <v>84</v>
      </c>
      <c r="E26" s="111"/>
      <c r="F26" s="111"/>
      <c r="G26" s="112"/>
      <c r="H26" s="1"/>
      <c r="I26" s="1"/>
    </row>
    <row r="27" spans="1:9" x14ac:dyDescent="0.25">
      <c r="A27" s="1"/>
      <c r="B27" s="1"/>
      <c r="C27" s="6" t="s">
        <v>248</v>
      </c>
      <c r="D27" s="110" t="s">
        <v>85</v>
      </c>
      <c r="E27" s="111"/>
      <c r="F27" s="111"/>
      <c r="G27" s="112"/>
      <c r="H27" s="1"/>
      <c r="I27" s="1"/>
    </row>
    <row r="28" spans="1:9" x14ac:dyDescent="0.25">
      <c r="A28" s="1"/>
      <c r="B28" s="1"/>
      <c r="C28" s="6" t="s">
        <v>15</v>
      </c>
      <c r="D28" s="110" t="s">
        <v>86</v>
      </c>
      <c r="E28" s="111"/>
      <c r="F28" s="111"/>
      <c r="G28" s="112"/>
      <c r="H28" s="1"/>
      <c r="I28" s="1"/>
    </row>
    <row r="29" spans="1:9" x14ac:dyDescent="0.25">
      <c r="A29" s="1"/>
      <c r="B29" s="1"/>
      <c r="C29" s="6" t="s">
        <v>37</v>
      </c>
      <c r="D29" s="110" t="s">
        <v>134</v>
      </c>
      <c r="E29" s="111"/>
      <c r="F29" s="111"/>
      <c r="G29" s="112"/>
      <c r="H29" s="1"/>
      <c r="I29" s="1"/>
    </row>
    <row r="30" spans="1:9" x14ac:dyDescent="0.25">
      <c r="A30" s="1"/>
      <c r="B30" s="1"/>
      <c r="C30" s="6" t="s">
        <v>38</v>
      </c>
      <c r="D30" s="110" t="s">
        <v>36</v>
      </c>
      <c r="E30" s="111"/>
      <c r="F30" s="111"/>
      <c r="G30" s="112"/>
      <c r="H30" s="1"/>
      <c r="I30" s="1"/>
    </row>
    <row r="31" spans="1:9" x14ac:dyDescent="0.25">
      <c r="A31" s="1"/>
      <c r="B31" s="1"/>
      <c r="C31" s="6" t="s">
        <v>249</v>
      </c>
      <c r="D31" s="121" t="s">
        <v>105</v>
      </c>
      <c r="E31" s="122"/>
      <c r="F31" s="122"/>
      <c r="G31" s="12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5e8JUDN8dJrb+B623hwF9soHZdyZnyY5C0suMJw16XOl8tX1GN5nun46nljfctkGM7Qa6arkp5Y0vpIKgG8hig==" saltValue="EAqM5sKmkQDGg13X+mhAT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4" t="s">
        <v>111</v>
      </c>
      <c r="C3" s="124"/>
      <c r="D3" s="124"/>
      <c r="E3" s="1"/>
      <c r="F3" s="1"/>
    </row>
    <row r="4" spans="1:6" ht="15" customHeight="1" x14ac:dyDescent="0.25">
      <c r="A4" s="1"/>
      <c r="B4" s="124"/>
      <c r="C4" s="124"/>
      <c r="D4" s="12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2" t="s">
        <v>199</v>
      </c>
      <c r="C8" s="133"/>
      <c r="D8" s="134"/>
      <c r="E8" s="1"/>
      <c r="F8" s="1"/>
    </row>
    <row r="9" spans="1:6" ht="15" customHeight="1" x14ac:dyDescent="0.25">
      <c r="A9" s="1"/>
      <c r="B9" s="26" t="s">
        <v>32</v>
      </c>
      <c r="C9" s="58" t="s">
        <v>240</v>
      </c>
      <c r="D9" s="11"/>
      <c r="E9" s="1"/>
      <c r="F9" s="1"/>
    </row>
    <row r="10" spans="1:6" x14ac:dyDescent="0.25">
      <c r="A10" s="1"/>
      <c r="B10" s="94" t="s">
        <v>265</v>
      </c>
      <c r="C10" s="9">
        <v>83220</v>
      </c>
      <c r="D10" s="14" t="s">
        <v>3</v>
      </c>
      <c r="E10" s="1"/>
      <c r="F10" s="1"/>
    </row>
    <row r="11" spans="1:6" x14ac:dyDescent="0.25">
      <c r="A11" s="1"/>
      <c r="B11" s="94" t="s">
        <v>266</v>
      </c>
      <c r="C11" s="9">
        <v>8790798</v>
      </c>
      <c r="D11" s="14" t="s">
        <v>3</v>
      </c>
      <c r="E11" s="1"/>
      <c r="F11" s="1"/>
    </row>
    <row r="12" spans="1:6" x14ac:dyDescent="0.25">
      <c r="A12" s="1"/>
      <c r="B12" s="94" t="s">
        <v>267</v>
      </c>
      <c r="C12" s="9">
        <v>149286</v>
      </c>
      <c r="D12" s="14" t="s">
        <v>3</v>
      </c>
      <c r="E12" s="1"/>
      <c r="F12" s="1"/>
    </row>
    <row r="13" spans="1:6" x14ac:dyDescent="0.25">
      <c r="A13" s="1"/>
      <c r="B13" s="32" t="s">
        <v>200</v>
      </c>
      <c r="C13" s="12">
        <f>SUM(C10:C12)</f>
        <v>9023304</v>
      </c>
      <c r="D13" s="13" t="s">
        <v>3</v>
      </c>
      <c r="E13" s="1"/>
      <c r="F13" s="1"/>
    </row>
    <row r="14" spans="1:6" x14ac:dyDescent="0.25">
      <c r="A14" s="1"/>
      <c r="B14" s="32" t="s">
        <v>201</v>
      </c>
      <c r="C14" s="12">
        <f>C13*(1+'Fane 15. Nøgletal'!C15)^2</f>
        <v>9677199.019357441</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2" t="s">
        <v>117</v>
      </c>
      <c r="C17" s="133"/>
      <c r="D17" s="134"/>
      <c r="E17" s="1"/>
      <c r="F17" s="1"/>
    </row>
    <row r="18" spans="1:6" x14ac:dyDescent="0.25">
      <c r="A18" s="1"/>
      <c r="B18" s="94" t="s">
        <v>99</v>
      </c>
      <c r="C18" s="9">
        <v>261031.39842449664</v>
      </c>
      <c r="D18" s="14" t="s">
        <v>3</v>
      </c>
      <c r="E18" s="1"/>
      <c r="F18" s="1"/>
    </row>
    <row r="19" spans="1:6" x14ac:dyDescent="0.25">
      <c r="A19" s="1"/>
      <c r="B19" s="94" t="s">
        <v>129</v>
      </c>
      <c r="C19" s="9">
        <v>261414.71111129009</v>
      </c>
      <c r="D19" s="14" t="s">
        <v>3</v>
      </c>
      <c r="E19" s="1"/>
      <c r="F19" s="1"/>
    </row>
    <row r="20" spans="1:6" x14ac:dyDescent="0.25">
      <c r="A20" s="1"/>
      <c r="B20" s="94" t="s">
        <v>155</v>
      </c>
      <c r="C20" s="9">
        <v>261803.77348838546</v>
      </c>
      <c r="D20" s="14" t="s">
        <v>3</v>
      </c>
      <c r="E20" s="1"/>
      <c r="F20" s="1"/>
    </row>
    <row r="21" spans="1:6" x14ac:dyDescent="0.25">
      <c r="A21" s="1"/>
      <c r="B21" s="33" t="s">
        <v>202</v>
      </c>
      <c r="C21" s="9">
        <v>26721.452496204045</v>
      </c>
      <c r="D21" s="40" t="s">
        <v>3</v>
      </c>
      <c r="E21" s="1"/>
      <c r="F21" s="1"/>
    </row>
    <row r="22" spans="1:6" x14ac:dyDescent="0.25">
      <c r="A22" s="1"/>
      <c r="B22" s="132"/>
      <c r="C22" s="133"/>
      <c r="D22" s="134"/>
      <c r="E22" s="1"/>
      <c r="F22" s="1"/>
    </row>
    <row r="23" spans="1:6" x14ac:dyDescent="0.25">
      <c r="A23" s="1"/>
      <c r="B23" s="1"/>
      <c r="C23" s="1"/>
      <c r="D23" s="1"/>
      <c r="E23" s="1"/>
      <c r="F23" s="1"/>
    </row>
    <row r="24" spans="1:6" x14ac:dyDescent="0.25">
      <c r="A24" s="1"/>
      <c r="B24" s="1"/>
      <c r="C24" s="1"/>
      <c r="D24" s="1"/>
      <c r="E24" s="1"/>
      <c r="F24" s="1"/>
    </row>
    <row r="25" spans="1:6" x14ac:dyDescent="0.25">
      <c r="A25" s="1"/>
      <c r="B25" s="132" t="s">
        <v>98</v>
      </c>
      <c r="C25" s="133"/>
      <c r="D25" s="134"/>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32"/>
      <c r="C30" s="133"/>
      <c r="D30" s="134"/>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WFQaPaN5zEF0LDGbCPWI5rn5GcVz9X5Y0wyvyTn1pyFqKQhFnlOwBQVbVWns+nVz/B/QqhJ6U/C4eI3nxOdBTQ==" saltValue="jzwcGem9u3CTNJUL1Jc5Jw=="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203</v>
      </c>
      <c r="C3" s="140"/>
      <c r="D3" s="140"/>
      <c r="E3" s="140"/>
      <c r="F3" s="140"/>
      <c r="G3" s="1"/>
    </row>
    <row r="4" spans="1:7" ht="15" customHeight="1" x14ac:dyDescent="0.25">
      <c r="A4" s="1"/>
      <c r="B4" s="140"/>
      <c r="C4" s="140"/>
      <c r="D4" s="140"/>
      <c r="E4" s="140"/>
      <c r="F4" s="140"/>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2" t="s">
        <v>178</v>
      </c>
      <c r="C8" s="133"/>
      <c r="D8" s="133"/>
      <c r="E8" s="133"/>
      <c r="F8" s="134"/>
      <c r="G8" s="1"/>
    </row>
    <row r="9" spans="1:7" x14ac:dyDescent="0.25">
      <c r="A9" s="1"/>
      <c r="B9" s="142" t="s">
        <v>204</v>
      </c>
      <c r="C9" s="143"/>
      <c r="D9" s="144"/>
      <c r="E9" s="9">
        <v>7715729.6309267431</v>
      </c>
      <c r="F9" s="14" t="s">
        <v>3</v>
      </c>
      <c r="G9" s="1"/>
    </row>
    <row r="10" spans="1:7" x14ac:dyDescent="0.25">
      <c r="A10" s="1"/>
      <c r="B10" s="142" t="s">
        <v>263</v>
      </c>
      <c r="C10" s="143"/>
      <c r="D10" s="144"/>
      <c r="E10" s="9">
        <v>7715729.6309267431</v>
      </c>
      <c r="F10" s="14" t="s">
        <v>3</v>
      </c>
      <c r="G10" s="1"/>
    </row>
    <row r="11" spans="1:7" x14ac:dyDescent="0.25">
      <c r="A11" s="1"/>
      <c r="B11" s="32"/>
      <c r="C11" s="27"/>
      <c r="D11" s="27"/>
      <c r="E11" s="27"/>
      <c r="F11" s="19"/>
      <c r="G11" s="1"/>
    </row>
    <row r="12" spans="1:7" ht="67.5" customHeight="1" x14ac:dyDescent="0.25">
      <c r="A12" s="1"/>
      <c r="B12" s="135" t="s">
        <v>286</v>
      </c>
      <c r="C12" s="136"/>
      <c r="D12" s="136"/>
      <c r="E12" s="136"/>
      <c r="F12" s="137"/>
      <c r="G12" s="1"/>
    </row>
    <row r="13" spans="1:7" ht="27" customHeight="1" x14ac:dyDescent="0.25">
      <c r="A13" s="1"/>
      <c r="B13" s="1"/>
      <c r="C13" s="1"/>
      <c r="D13" s="1"/>
      <c r="E13" s="1"/>
      <c r="F13" s="1"/>
      <c r="G13" s="1"/>
    </row>
    <row r="14" spans="1:7" ht="28.5" customHeight="1" x14ac:dyDescent="0.25">
      <c r="A14" s="1"/>
      <c r="B14" s="132" t="s">
        <v>179</v>
      </c>
      <c r="C14" s="133"/>
      <c r="D14" s="133"/>
      <c r="E14" s="133"/>
      <c r="F14" s="134"/>
      <c r="G14" s="1"/>
    </row>
    <row r="15" spans="1:7" x14ac:dyDescent="0.25">
      <c r="A15" s="1"/>
      <c r="B15" s="142" t="s">
        <v>279</v>
      </c>
      <c r="C15" s="143"/>
      <c r="D15" s="144"/>
      <c r="E15" s="9">
        <v>0</v>
      </c>
      <c r="F15" s="14" t="s">
        <v>3</v>
      </c>
      <c r="G15" s="1"/>
    </row>
    <row r="16" spans="1:7" x14ac:dyDescent="0.25">
      <c r="A16" s="1"/>
      <c r="B16" s="142" t="s">
        <v>280</v>
      </c>
      <c r="C16" s="143"/>
      <c r="D16" s="144"/>
      <c r="E16" s="9">
        <v>0</v>
      </c>
      <c r="F16" s="14" t="s">
        <v>3</v>
      </c>
      <c r="G16" s="1"/>
    </row>
    <row r="17" spans="1:7" x14ac:dyDescent="0.25">
      <c r="A17" s="1"/>
      <c r="B17" s="32"/>
      <c r="C17" s="27"/>
      <c r="D17" s="27"/>
      <c r="E17" s="27"/>
      <c r="F17" s="19"/>
      <c r="G17" s="1"/>
    </row>
    <row r="18" spans="1:7" ht="31.5" customHeight="1" x14ac:dyDescent="0.25">
      <c r="A18" s="1"/>
      <c r="B18" s="135" t="s">
        <v>287</v>
      </c>
      <c r="C18" s="136"/>
      <c r="D18" s="136"/>
      <c r="E18" s="136"/>
      <c r="F18" s="137"/>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48310452.013763867</v>
      </c>
      <c r="F21" s="14" t="s">
        <v>3</v>
      </c>
      <c r="G21" s="1"/>
    </row>
    <row r="22" spans="1:7" x14ac:dyDescent="0.25">
      <c r="A22" s="1"/>
      <c r="B22" s="91" t="s">
        <v>207</v>
      </c>
      <c r="C22" s="92"/>
      <c r="D22" s="93"/>
      <c r="E22" s="9">
        <v>39533708</v>
      </c>
      <c r="F22" s="14" t="s">
        <v>3</v>
      </c>
      <c r="G22" s="1"/>
    </row>
    <row r="23" spans="1:7" x14ac:dyDescent="0.25">
      <c r="A23" s="1"/>
      <c r="B23" s="91" t="s">
        <v>33</v>
      </c>
      <c r="C23" s="92"/>
      <c r="D23" s="93"/>
      <c r="E23" s="9">
        <v>0</v>
      </c>
      <c r="F23" s="14" t="s">
        <v>3</v>
      </c>
      <c r="G23" s="1"/>
    </row>
    <row r="24" spans="1:7" x14ac:dyDescent="0.25">
      <c r="A24" s="1"/>
      <c r="B24" s="88" t="s">
        <v>268</v>
      </c>
      <c r="C24" s="89"/>
      <c r="D24" s="96"/>
      <c r="E24" s="72">
        <f>E21-(E22-E23)</f>
        <v>8776744.0137638673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2" t="s">
        <v>281</v>
      </c>
      <c r="C27" s="133"/>
      <c r="D27" s="133"/>
      <c r="E27" s="133"/>
      <c r="F27" s="134"/>
      <c r="G27" s="1"/>
    </row>
    <row r="28" spans="1:7" x14ac:dyDescent="0.25">
      <c r="A28" s="1"/>
      <c r="B28" s="138" t="s">
        <v>282</v>
      </c>
      <c r="C28" s="139"/>
      <c r="D28" s="163"/>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2"/>
      <c r="C29" s="133"/>
      <c r="D29" s="133"/>
      <c r="E29" s="133"/>
      <c r="F29" s="134"/>
      <c r="G29" s="1"/>
    </row>
    <row r="30" spans="1:7" x14ac:dyDescent="0.25">
      <c r="A30" s="1"/>
      <c r="B30" s="1"/>
      <c r="C30" s="1"/>
      <c r="D30" s="1"/>
      <c r="E30" s="1"/>
      <c r="F30" s="1"/>
      <c r="G30" s="1"/>
    </row>
    <row r="31" spans="1:7" ht="28.5" customHeight="1" x14ac:dyDescent="0.25">
      <c r="A31" s="1"/>
      <c r="B31" s="132" t="s">
        <v>264</v>
      </c>
      <c r="C31" s="133"/>
      <c r="D31" s="133"/>
      <c r="E31" s="133"/>
      <c r="F31" s="134"/>
      <c r="G31" s="1"/>
    </row>
    <row r="32" spans="1:7" x14ac:dyDescent="0.25">
      <c r="A32" s="1"/>
      <c r="B32" s="156" t="s">
        <v>143</v>
      </c>
      <c r="C32" s="157"/>
      <c r="D32" s="158"/>
      <c r="E32" s="74">
        <f>IF(AND(E9&gt;0,(E9+E24)&gt;0),0,IF(AND(E9&gt;0,(E9+E24)&lt;0),(E9+E24),IF(AND(E9&lt;0,E24&lt;0),E24,0)))</f>
        <v>0</v>
      </c>
      <c r="F32" s="14" t="s">
        <v>3</v>
      </c>
      <c r="G32" s="1"/>
    </row>
    <row r="33" spans="1:7" x14ac:dyDescent="0.25">
      <c r="A33" s="1"/>
      <c r="B33" s="156" t="s">
        <v>102</v>
      </c>
      <c r="C33" s="157"/>
      <c r="D33" s="158"/>
      <c r="E33" s="9">
        <v>4</v>
      </c>
      <c r="F33" s="14" t="s">
        <v>20</v>
      </c>
      <c r="G33" s="1"/>
    </row>
    <row r="34" spans="1:7" x14ac:dyDescent="0.25">
      <c r="A34" s="1"/>
      <c r="B34" s="159" t="s">
        <v>144</v>
      </c>
      <c r="C34" s="159"/>
      <c r="D34" s="159"/>
      <c r="E34" s="73">
        <f>E32/E33</f>
        <v>0</v>
      </c>
      <c r="F34" s="17" t="s">
        <v>3</v>
      </c>
      <c r="G34" s="1"/>
    </row>
    <row r="35" spans="1:7" x14ac:dyDescent="0.25">
      <c r="A35" s="1"/>
      <c r="B35" s="160"/>
      <c r="C35" s="161"/>
      <c r="D35" s="161"/>
      <c r="E35" s="161"/>
      <c r="F35" s="162"/>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2OyQqyLDYO93WYnQc7hbSfE85z1Es+QklhFemnYv5ybj1K/mpEcZuSyHLAdqVkbhFSvEELrglQFQru2b7iONXg==" saltValue="iML3CyxYWgUeaYeuTZGGGQ=="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4" t="s">
        <v>250</v>
      </c>
      <c r="C3" s="124"/>
      <c r="D3" s="124"/>
      <c r="E3" s="124"/>
      <c r="F3" s="124"/>
      <c r="G3" s="124"/>
      <c r="H3" s="124"/>
      <c r="I3" s="1"/>
    </row>
    <row r="4" spans="1:9" ht="15" customHeight="1" x14ac:dyDescent="0.25">
      <c r="A4" s="1"/>
      <c r="B4" s="124"/>
      <c r="C4" s="124"/>
      <c r="D4" s="124"/>
      <c r="E4" s="124"/>
      <c r="F4" s="124"/>
      <c r="G4" s="124"/>
      <c r="H4" s="12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2" t="s">
        <v>262</v>
      </c>
      <c r="C8" s="133"/>
      <c r="D8" s="133"/>
      <c r="E8" s="133"/>
      <c r="F8" s="133"/>
      <c r="G8" s="133"/>
      <c r="H8" s="134"/>
      <c r="I8" s="1"/>
    </row>
    <row r="9" spans="1:9" ht="15" customHeight="1" x14ac:dyDescent="0.25">
      <c r="A9" s="1"/>
      <c r="B9" s="129" t="s">
        <v>251</v>
      </c>
      <c r="C9" s="130"/>
      <c r="D9" s="130"/>
      <c r="E9" s="130"/>
      <c r="F9" s="130"/>
      <c r="G9" s="130"/>
      <c r="H9" s="131"/>
      <c r="I9" s="1"/>
    </row>
    <row r="10" spans="1:9" x14ac:dyDescent="0.25">
      <c r="A10" s="1"/>
      <c r="B10" s="164" t="s">
        <v>270</v>
      </c>
      <c r="C10" s="165"/>
      <c r="D10" s="165"/>
      <c r="E10" s="165"/>
      <c r="F10" s="166"/>
      <c r="G10" s="9">
        <v>0</v>
      </c>
      <c r="H10" s="9" t="s">
        <v>3</v>
      </c>
      <c r="I10" s="1"/>
    </row>
    <row r="11" spans="1:9" x14ac:dyDescent="0.25">
      <c r="A11" s="1"/>
      <c r="B11" s="164" t="s">
        <v>271</v>
      </c>
      <c r="C11" s="165"/>
      <c r="D11" s="165"/>
      <c r="E11" s="165"/>
      <c r="F11" s="166"/>
      <c r="G11" s="9">
        <v>0</v>
      </c>
      <c r="H11" s="9" t="s">
        <v>3</v>
      </c>
      <c r="I11" s="1"/>
    </row>
    <row r="12" spans="1:9" x14ac:dyDescent="0.25">
      <c r="A12" s="1"/>
      <c r="B12" s="164" t="s">
        <v>272</v>
      </c>
      <c r="C12" s="165"/>
      <c r="D12" s="165"/>
      <c r="E12" s="165"/>
      <c r="F12" s="166"/>
      <c r="G12" s="9">
        <v>0</v>
      </c>
      <c r="H12" s="9" t="s">
        <v>3</v>
      </c>
      <c r="I12" s="1"/>
    </row>
    <row r="13" spans="1:9" x14ac:dyDescent="0.25">
      <c r="A13" s="1"/>
      <c r="B13" s="164" t="s">
        <v>273</v>
      </c>
      <c r="C13" s="165"/>
      <c r="D13" s="165"/>
      <c r="E13" s="165"/>
      <c r="F13" s="166"/>
      <c r="G13" s="9">
        <v>0</v>
      </c>
      <c r="H13" s="9" t="s">
        <v>3</v>
      </c>
      <c r="I13" s="1"/>
    </row>
    <row r="14" spans="1:9" x14ac:dyDescent="0.25">
      <c r="A14" s="1"/>
      <c r="B14" s="164" t="s">
        <v>274</v>
      </c>
      <c r="C14" s="165"/>
      <c r="D14" s="165"/>
      <c r="E14" s="165"/>
      <c r="F14" s="166"/>
      <c r="G14" s="9">
        <v>0</v>
      </c>
      <c r="H14" s="9" t="s">
        <v>3</v>
      </c>
      <c r="I14" s="1"/>
    </row>
    <row r="15" spans="1:9" x14ac:dyDescent="0.25">
      <c r="A15" s="1"/>
      <c r="B15" s="164" t="s">
        <v>275</v>
      </c>
      <c r="C15" s="165"/>
      <c r="D15" s="165"/>
      <c r="E15" s="165"/>
      <c r="F15" s="166"/>
      <c r="G15" s="9">
        <v>0</v>
      </c>
      <c r="H15" s="9" t="s">
        <v>3</v>
      </c>
      <c r="I15" s="1"/>
    </row>
    <row r="16" spans="1:9" x14ac:dyDescent="0.25">
      <c r="A16" s="1"/>
      <c r="B16" s="164" t="s">
        <v>276</v>
      </c>
      <c r="C16" s="165"/>
      <c r="D16" s="165"/>
      <c r="E16" s="165"/>
      <c r="F16" s="166"/>
      <c r="G16" s="9">
        <v>0</v>
      </c>
      <c r="H16" s="9" t="s">
        <v>3</v>
      </c>
      <c r="I16" s="1"/>
    </row>
    <row r="17" spans="1:9" x14ac:dyDescent="0.25">
      <c r="A17" s="1"/>
      <c r="B17" s="164" t="s">
        <v>277</v>
      </c>
      <c r="C17" s="165"/>
      <c r="D17" s="165"/>
      <c r="E17" s="165"/>
      <c r="F17" s="166"/>
      <c r="G17" s="9">
        <v>0</v>
      </c>
      <c r="H17" s="9" t="s">
        <v>3</v>
      </c>
      <c r="I17" s="1"/>
    </row>
    <row r="18" spans="1:9" x14ac:dyDescent="0.25">
      <c r="A18" s="1"/>
      <c r="B18" s="132" t="s">
        <v>252</v>
      </c>
      <c r="C18" s="133"/>
      <c r="D18" s="133"/>
      <c r="E18" s="133"/>
      <c r="F18" s="13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2JCZ9yPe2q38bdbCj5y91d9ZtXjHKSlXUIHck/QVIt2Vs7RaEQPogmLxqfikpW/sApS0TacavwjJ+RzpKuA/eg==" saltValue="Ypp7dYBpd4Vkt6s1M5XiFA=="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254</v>
      </c>
      <c r="C3" s="140"/>
      <c r="D3" s="140"/>
      <c r="E3" s="140"/>
      <c r="F3" s="140"/>
      <c r="G3" s="1"/>
    </row>
    <row r="4" spans="1:7" ht="1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208</v>
      </c>
      <c r="C9" s="133"/>
      <c r="D9" s="133"/>
      <c r="E9" s="133"/>
      <c r="F9" s="134"/>
      <c r="G9" s="1"/>
    </row>
    <row r="10" spans="1:7" x14ac:dyDescent="0.25">
      <c r="A10" s="1"/>
      <c r="B10" s="135" t="s">
        <v>100</v>
      </c>
      <c r="C10" s="136"/>
      <c r="D10" s="137"/>
      <c r="E10" s="7">
        <v>0</v>
      </c>
      <c r="F10" s="8" t="s">
        <v>3</v>
      </c>
      <c r="G10" s="1"/>
    </row>
    <row r="11" spans="1:7" x14ac:dyDescent="0.25">
      <c r="A11" s="1"/>
      <c r="B11" s="142" t="s">
        <v>209</v>
      </c>
      <c r="C11" s="143"/>
      <c r="D11" s="144"/>
      <c r="E11" s="7">
        <v>3647</v>
      </c>
      <c r="F11" s="8" t="s">
        <v>3</v>
      </c>
      <c r="G11" s="1"/>
    </row>
    <row r="12" spans="1:7" x14ac:dyDescent="0.25">
      <c r="A12" s="1"/>
      <c r="B12" s="138" t="s">
        <v>101</v>
      </c>
      <c r="C12" s="139"/>
      <c r="D12" s="163"/>
      <c r="E12" s="10">
        <f>E11-E10</f>
        <v>3647</v>
      </c>
      <c r="F12" s="11" t="s">
        <v>3</v>
      </c>
      <c r="G12" s="1"/>
    </row>
    <row r="13" spans="1:7" x14ac:dyDescent="0.25">
      <c r="A13" s="1"/>
      <c r="B13" s="132" t="s">
        <v>94</v>
      </c>
      <c r="C13" s="133"/>
      <c r="D13" s="133"/>
      <c r="E13" s="133"/>
      <c r="F13" s="134"/>
      <c r="G13" s="1"/>
    </row>
    <row r="14" spans="1:7" x14ac:dyDescent="0.25">
      <c r="A14" s="1"/>
      <c r="B14" s="142" t="s">
        <v>210</v>
      </c>
      <c r="C14" s="143"/>
      <c r="D14" s="144"/>
      <c r="E14" s="9">
        <v>260282</v>
      </c>
      <c r="F14" s="8" t="s">
        <v>3</v>
      </c>
      <c r="G14" s="1"/>
    </row>
    <row r="15" spans="1:7" x14ac:dyDescent="0.25">
      <c r="A15" s="1"/>
      <c r="B15" s="135" t="s">
        <v>211</v>
      </c>
      <c r="C15" s="136"/>
      <c r="D15" s="137"/>
      <c r="E15" s="9">
        <v>216440</v>
      </c>
      <c r="F15" s="8" t="s">
        <v>3</v>
      </c>
      <c r="G15" s="1"/>
    </row>
    <row r="16" spans="1:7" x14ac:dyDescent="0.25">
      <c r="A16" s="1"/>
      <c r="B16" s="138" t="s">
        <v>101</v>
      </c>
      <c r="C16" s="139"/>
      <c r="D16" s="163"/>
      <c r="E16" s="10">
        <f>E15-E14</f>
        <v>-43842</v>
      </c>
      <c r="F16" s="11" t="s">
        <v>3</v>
      </c>
      <c r="G16" s="1"/>
    </row>
    <row r="17" spans="1:7" x14ac:dyDescent="0.25">
      <c r="A17" s="1"/>
      <c r="B17" s="32" t="s">
        <v>212</v>
      </c>
      <c r="C17" s="27"/>
      <c r="D17" s="27"/>
      <c r="E17" s="12">
        <f>E12+E16</f>
        <v>-40195</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lQJYloxIS/fVwBltnR1FsHfSDqBpfk8/VTAhhHO7UNg6PM6sz3xgLlSZZsBhdFV4WJgt/8/WRUfAFGv1egVnQ==" saltValue="fbg0bKOKb/KD3UQ7omUwm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4" t="s">
        <v>255</v>
      </c>
      <c r="C3" s="124"/>
      <c r="D3" s="124"/>
      <c r="E3" s="124"/>
      <c r="F3" s="124"/>
      <c r="G3" s="124"/>
      <c r="H3" s="124"/>
      <c r="I3" s="124"/>
      <c r="J3" s="124"/>
      <c r="K3" s="124"/>
      <c r="L3" s="1"/>
    </row>
    <row r="4" spans="1:12" ht="15" customHeight="1" x14ac:dyDescent="0.25">
      <c r="A4" s="1"/>
      <c r="B4" s="124"/>
      <c r="C4" s="124"/>
      <c r="D4" s="124"/>
      <c r="E4" s="124"/>
      <c r="F4" s="124"/>
      <c r="G4" s="124"/>
      <c r="H4" s="124"/>
      <c r="I4" s="124"/>
      <c r="J4" s="124"/>
      <c r="K4" s="12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2" t="s">
        <v>219</v>
      </c>
      <c r="C8" s="133"/>
      <c r="D8" s="133"/>
      <c r="E8" s="133"/>
      <c r="F8" s="133"/>
      <c r="G8" s="133"/>
      <c r="H8" s="133"/>
      <c r="I8" s="133"/>
      <c r="J8" s="133"/>
      <c r="K8" s="134"/>
      <c r="L8" s="1"/>
    </row>
    <row r="9" spans="1:12" ht="39.75" customHeight="1" x14ac:dyDescent="0.25">
      <c r="A9" s="1"/>
      <c r="B9" s="18" t="s">
        <v>0</v>
      </c>
      <c r="C9" s="18" t="s">
        <v>1</v>
      </c>
      <c r="D9" s="167" t="s">
        <v>245</v>
      </c>
      <c r="E9" s="168"/>
      <c r="F9" s="167" t="s">
        <v>2</v>
      </c>
      <c r="G9" s="168"/>
      <c r="H9" s="167" t="s">
        <v>244</v>
      </c>
      <c r="I9" s="168"/>
      <c r="J9" s="167" t="s">
        <v>30</v>
      </c>
      <c r="K9" s="168"/>
      <c r="L9" s="1"/>
    </row>
    <row r="10" spans="1:12" x14ac:dyDescent="0.25">
      <c r="A10" s="1"/>
      <c r="B10" s="97" t="s">
        <v>278</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vITRee3oQaDh2EIVEHm56JDAoe7KEkFyTqVg27uA733ZoXQ5iMtkGwSOumUQMtMe6N2HgME6klzHmz37dwQ0eg==" saltValue="m0Pm1VYNh1MyriXE0pok6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256</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283</v>
      </c>
      <c r="C11" s="21">
        <v>0</v>
      </c>
      <c r="D11" s="14" t="s">
        <v>3</v>
      </c>
      <c r="E11" s="9">
        <v>61193</v>
      </c>
      <c r="F11" s="14" t="s">
        <v>3</v>
      </c>
      <c r="G11" s="1"/>
    </row>
    <row r="12" spans="1:7" x14ac:dyDescent="0.25">
      <c r="A12" s="1"/>
      <c r="B12" s="32" t="s">
        <v>156</v>
      </c>
      <c r="C12" s="12">
        <f>SUM(C10:C11)</f>
        <v>0</v>
      </c>
      <c r="D12" s="13" t="s">
        <v>3</v>
      </c>
      <c r="E12" s="12">
        <f>SUM(E10:E11)</f>
        <v>61193</v>
      </c>
      <c r="F12" s="13" t="s">
        <v>3</v>
      </c>
      <c r="G12" s="1"/>
    </row>
    <row r="13" spans="1:7" x14ac:dyDescent="0.25">
      <c r="A13" s="1"/>
      <c r="B13" s="32" t="s">
        <v>213</v>
      </c>
      <c r="C13" s="12">
        <f>C12*(1+'Fane 15. Nøgletal'!C15)</f>
        <v>0</v>
      </c>
      <c r="D13" s="13" t="s">
        <v>3</v>
      </c>
      <c r="E13" s="12">
        <f>E12*(1+'Fane 15. Nøgletal'!C15)</f>
        <v>63371.470800000003</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PejHvPGGa2Pp8OhW5aj4TYexre8MacfQzJNEZ9nPef/NJEXeKCzCGzxw7GJ98mWmxKg//wEHRQPSXZw+iyLYg==" saltValue="DXhA/zXoTUcoNHECXThtt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257</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97</v>
      </c>
      <c r="C8" s="133"/>
      <c r="D8" s="133"/>
      <c r="E8" s="133"/>
      <c r="F8" s="134"/>
      <c r="G8" s="1"/>
    </row>
    <row r="9" spans="1:7" x14ac:dyDescent="0.25">
      <c r="A9" s="1"/>
      <c r="B9" s="83" t="s">
        <v>17</v>
      </c>
      <c r="C9" s="83" t="s">
        <v>11</v>
      </c>
      <c r="D9" s="84"/>
      <c r="E9" s="83" t="s">
        <v>31</v>
      </c>
      <c r="F9" s="31"/>
      <c r="G9" s="1"/>
    </row>
    <row r="10" spans="1:7" x14ac:dyDescent="0.25">
      <c r="A10" s="1"/>
      <c r="B10" s="23" t="s">
        <v>284</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9"/>
      <c r="C14" s="169"/>
      <c r="D14" s="169"/>
      <c r="E14" s="169"/>
      <c r="F14" s="169"/>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9"/>
      <c r="C21" s="169"/>
      <c r="D21" s="169"/>
      <c r="E21" s="169"/>
      <c r="F21" s="169"/>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9"/>
      <c r="C28" s="169"/>
      <c r="D28" s="169"/>
      <c r="E28" s="169"/>
      <c r="F28" s="169"/>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xLmgk7W5G4SGbSflaex/x2pqhouIAveKEoWsI1b+wFbot/33IgBRJsQx1XfiHw7j0dr6JqWA61xuHR8nNjkCLQ==" saltValue="e3Ibp6t0u1vKfqTmG45L6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258</v>
      </c>
      <c r="C3" s="140"/>
      <c r="D3" s="140"/>
      <c r="E3" s="140"/>
      <c r="F3" s="140"/>
      <c r="G3" s="1"/>
    </row>
    <row r="4" spans="1:7" ht="15" customHeight="1" x14ac:dyDescent="0.25">
      <c r="A4" s="1"/>
      <c r="B4" s="140"/>
      <c r="C4" s="140"/>
      <c r="D4" s="140"/>
      <c r="E4" s="140"/>
      <c r="F4" s="140"/>
      <c r="G4" s="1"/>
    </row>
    <row r="5" spans="1:7" x14ac:dyDescent="0.25">
      <c r="A5" s="1"/>
      <c r="B5" s="140"/>
      <c r="C5" s="140"/>
      <c r="D5" s="140"/>
      <c r="E5" s="140"/>
      <c r="F5" s="14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2" t="s">
        <v>91</v>
      </c>
      <c r="C9" s="133"/>
      <c r="D9" s="133"/>
      <c r="E9" s="133"/>
      <c r="F9" s="134"/>
      <c r="G9" s="1"/>
    </row>
    <row r="10" spans="1:7" x14ac:dyDescent="0.25">
      <c r="A10" s="1"/>
      <c r="B10" s="164" t="s">
        <v>224</v>
      </c>
      <c r="C10" s="165"/>
      <c r="D10" s="166"/>
      <c r="E10" s="9">
        <v>1278850.8754190193</v>
      </c>
      <c r="F10" s="14" t="s">
        <v>3</v>
      </c>
      <c r="G10" s="1"/>
    </row>
    <row r="11" spans="1:7" x14ac:dyDescent="0.25">
      <c r="A11" s="1"/>
      <c r="B11" s="126" t="s">
        <v>10</v>
      </c>
      <c r="C11" s="127"/>
      <c r="D11" s="128"/>
      <c r="E11" s="9">
        <f>-E10*'Fane 5. Individuelt eff. krav'!G9</f>
        <v>0</v>
      </c>
      <c r="F11" s="14" t="s">
        <v>3</v>
      </c>
      <c r="G11" s="1"/>
    </row>
    <row r="12" spans="1:7" x14ac:dyDescent="0.25">
      <c r="A12" s="1"/>
      <c r="B12" s="126" t="s">
        <v>24</v>
      </c>
      <c r="C12" s="127"/>
      <c r="D12" s="128"/>
      <c r="E12" s="9">
        <f>-E10*'Fane 15. Nøgletal'!C31</f>
        <v>-25577.017508380384</v>
      </c>
      <c r="F12" s="14" t="s">
        <v>3</v>
      </c>
      <c r="G12" s="1"/>
    </row>
    <row r="13" spans="1:7" x14ac:dyDescent="0.25">
      <c r="A13" s="1"/>
      <c r="B13" s="132" t="s">
        <v>92</v>
      </c>
      <c r="C13" s="133"/>
      <c r="D13" s="134"/>
      <c r="E13" s="12">
        <f>SUM(E10:E12)*(1+'Fane 15. Nøgletal'!C15)^2</f>
        <v>1344095.3057504382</v>
      </c>
      <c r="F13" s="13" t="s">
        <v>3</v>
      </c>
      <c r="G13" s="1"/>
    </row>
    <row r="14" spans="1:7" x14ac:dyDescent="0.25">
      <c r="A14" s="1"/>
      <c r="B14" s="1"/>
      <c r="C14" s="1"/>
      <c r="D14" s="1"/>
      <c r="E14" s="1"/>
      <c r="F14" s="1"/>
      <c r="G14" s="1"/>
    </row>
    <row r="15" spans="1:7" ht="15" customHeight="1" x14ac:dyDescent="0.25">
      <c r="A15" s="1"/>
      <c r="B15" s="132" t="s">
        <v>130</v>
      </c>
      <c r="C15" s="133"/>
      <c r="D15" s="133"/>
      <c r="E15" s="133"/>
      <c r="F15" s="134"/>
      <c r="G15" s="1"/>
    </row>
    <row r="16" spans="1:7" x14ac:dyDescent="0.25">
      <c r="A16" s="1"/>
      <c r="B16" s="164" t="s">
        <v>224</v>
      </c>
      <c r="C16" s="165"/>
      <c r="D16" s="166"/>
      <c r="E16" s="9">
        <v>1278850.8754190193</v>
      </c>
      <c r="F16" s="14" t="s">
        <v>3</v>
      </c>
      <c r="G16" s="1"/>
    </row>
    <row r="17" spans="1:7" x14ac:dyDescent="0.25">
      <c r="A17" s="1"/>
      <c r="B17" s="126" t="s">
        <v>10</v>
      </c>
      <c r="C17" s="127"/>
      <c r="D17" s="128"/>
      <c r="E17" s="9">
        <f>-E16*'Fane 5. Individuelt eff. krav'!G9</f>
        <v>0</v>
      </c>
      <c r="F17" s="14" t="s">
        <v>3</v>
      </c>
      <c r="G17" s="1"/>
    </row>
    <row r="18" spans="1:7" x14ac:dyDescent="0.25">
      <c r="A18" s="1"/>
      <c r="B18" s="126" t="s">
        <v>24</v>
      </c>
      <c r="C18" s="127"/>
      <c r="D18" s="128"/>
      <c r="E18" s="9">
        <f>-E16*'Fane 15. Nøgletal'!C31</f>
        <v>-25577.017508380384</v>
      </c>
      <c r="F18" s="14" t="s">
        <v>3</v>
      </c>
      <c r="G18" s="1"/>
    </row>
    <row r="19" spans="1:7" x14ac:dyDescent="0.25">
      <c r="A19" s="1"/>
      <c r="B19" s="132" t="s">
        <v>131</v>
      </c>
      <c r="C19" s="133"/>
      <c r="D19" s="134"/>
      <c r="E19" s="12">
        <f>SUM(E16:E18)*(1+'Fane 15. Nøgletal'!C15)^3</f>
        <v>1391945.0986351538</v>
      </c>
      <c r="F19" s="13" t="s">
        <v>3</v>
      </c>
      <c r="G19" s="1"/>
    </row>
    <row r="20" spans="1:7" x14ac:dyDescent="0.25">
      <c r="A20" s="1"/>
      <c r="B20" s="1"/>
      <c r="C20" s="1"/>
      <c r="D20" s="1"/>
      <c r="E20" s="1"/>
      <c r="F20" s="1"/>
      <c r="G20" s="1"/>
    </row>
    <row r="21" spans="1:7" ht="15" customHeight="1" x14ac:dyDescent="0.25">
      <c r="A21" s="1"/>
      <c r="B21" s="132" t="s">
        <v>157</v>
      </c>
      <c r="C21" s="133"/>
      <c r="D21" s="133"/>
      <c r="E21" s="133"/>
      <c r="F21" s="134"/>
      <c r="G21" s="1"/>
    </row>
    <row r="22" spans="1:7" x14ac:dyDescent="0.25">
      <c r="A22" s="1"/>
      <c r="B22" s="164" t="s">
        <v>224</v>
      </c>
      <c r="C22" s="165"/>
      <c r="D22" s="166"/>
      <c r="E22" s="9">
        <v>1278850.8754190193</v>
      </c>
      <c r="F22" s="14" t="s">
        <v>3</v>
      </c>
      <c r="G22" s="1"/>
    </row>
    <row r="23" spans="1:7" x14ac:dyDescent="0.25">
      <c r="A23" s="1"/>
      <c r="B23" s="126" t="s">
        <v>10</v>
      </c>
      <c r="C23" s="127"/>
      <c r="D23" s="128"/>
      <c r="E23" s="9">
        <f>-E22*'Fane 5. Individuelt eff. krav'!G9</f>
        <v>0</v>
      </c>
      <c r="F23" s="14" t="s">
        <v>3</v>
      </c>
      <c r="G23" s="1"/>
    </row>
    <row r="24" spans="1:7" x14ac:dyDescent="0.25">
      <c r="A24" s="1"/>
      <c r="B24" s="126" t="s">
        <v>24</v>
      </c>
      <c r="C24" s="127"/>
      <c r="D24" s="128"/>
      <c r="E24" s="9">
        <f>-E22*'Fane 15. Nøgletal'!C31</f>
        <v>-25577.017508380384</v>
      </c>
      <c r="F24" s="14" t="s">
        <v>3</v>
      </c>
      <c r="G24" s="1"/>
    </row>
    <row r="25" spans="1:7" x14ac:dyDescent="0.25">
      <c r="A25" s="1"/>
      <c r="B25" s="132" t="s">
        <v>158</v>
      </c>
      <c r="C25" s="133"/>
      <c r="D25" s="134"/>
      <c r="E25" s="12">
        <f>SUM(E22:E24)*(1+'Fane 15. Nøgletal'!C15)^4</f>
        <v>1441498.3441465653</v>
      </c>
      <c r="F25" s="13" t="s">
        <v>3</v>
      </c>
      <c r="G25" s="1"/>
    </row>
    <row r="26" spans="1:7" x14ac:dyDescent="0.25">
      <c r="A26" s="1"/>
      <c r="B26" s="1"/>
      <c r="C26" s="1"/>
      <c r="D26" s="1"/>
      <c r="E26" s="1"/>
      <c r="F26" s="1"/>
      <c r="G26" s="1"/>
    </row>
    <row r="27" spans="1:7" ht="15" customHeight="1" x14ac:dyDescent="0.25">
      <c r="A27" s="1"/>
      <c r="B27" s="132" t="s">
        <v>214</v>
      </c>
      <c r="C27" s="133"/>
      <c r="D27" s="133"/>
      <c r="E27" s="133"/>
      <c r="F27" s="134"/>
      <c r="G27" s="1"/>
    </row>
    <row r="28" spans="1:7" ht="14.25" customHeight="1" x14ac:dyDescent="0.25">
      <c r="A28" s="1"/>
      <c r="B28" s="164" t="s">
        <v>224</v>
      </c>
      <c r="C28" s="165"/>
      <c r="D28" s="166"/>
      <c r="E28" s="9">
        <v>0</v>
      </c>
      <c r="F28" s="14" t="s">
        <v>3</v>
      </c>
      <c r="G28" s="1"/>
    </row>
    <row r="29" spans="1:7" x14ac:dyDescent="0.25">
      <c r="A29" s="1"/>
      <c r="B29" s="126" t="s">
        <v>10</v>
      </c>
      <c r="C29" s="127"/>
      <c r="D29" s="128"/>
      <c r="E29" s="9">
        <f>-E28*'Fane 5. Individuelt eff. krav'!G9</f>
        <v>0</v>
      </c>
      <c r="F29" s="14" t="s">
        <v>3</v>
      </c>
      <c r="G29" s="1"/>
    </row>
    <row r="30" spans="1:7" x14ac:dyDescent="0.25">
      <c r="A30" s="1"/>
      <c r="B30" s="126" t="s">
        <v>24</v>
      </c>
      <c r="C30" s="127"/>
      <c r="D30" s="128"/>
      <c r="E30" s="9">
        <f>-E28*'Fane 15. Nøgletal'!C31</f>
        <v>0</v>
      </c>
      <c r="F30" s="14" t="s">
        <v>3</v>
      </c>
      <c r="G30" s="1"/>
    </row>
    <row r="31" spans="1:7" x14ac:dyDescent="0.25">
      <c r="A31" s="1"/>
      <c r="B31" s="132" t="s">
        <v>215</v>
      </c>
      <c r="C31" s="133"/>
      <c r="D31" s="134"/>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NuPesyM7z2+rikYxZR1JN9x4MlwhVuxmrgCcmHAnU4Frl1lDT2djVHXgKozu4ar8PLS6V/tl8+gwNO759azw==" saltValue="SGAGBqr8XXMnEwzrH7lhe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1.85546875" style="2" customWidth="1"/>
    <col min="2" max="2" width="40.85546875" style="2" customWidth="1"/>
    <col min="3" max="3" width="15.5703125" style="2" customWidth="1"/>
    <col min="4" max="4" width="3.28515625" style="2" customWidth="1"/>
    <col min="5" max="5" width="17.140625" style="2" customWidth="1"/>
    <col min="6" max="6" width="3.28515625" style="2" customWidth="1"/>
    <col min="7" max="7" width="2"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259</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132</v>
      </c>
      <c r="C8" s="133"/>
      <c r="D8" s="133"/>
      <c r="E8" s="133"/>
      <c r="F8" s="134"/>
      <c r="G8" s="1"/>
    </row>
    <row r="9" spans="1:7" ht="15" customHeight="1" x14ac:dyDescent="0.25">
      <c r="A9" s="1"/>
      <c r="B9" s="30" t="s">
        <v>133</v>
      </c>
      <c r="C9" s="30" t="s">
        <v>11</v>
      </c>
      <c r="D9" s="31"/>
      <c r="E9" s="30" t="s">
        <v>31</v>
      </c>
      <c r="F9" s="31"/>
      <c r="G9" s="1"/>
    </row>
    <row r="10" spans="1:7" x14ac:dyDescent="0.25">
      <c r="A10" s="1"/>
      <c r="B10" s="23" t="s">
        <v>269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daMi09w9rleJCcs0CtBOtmPTwtXIt9zjI2x82neBl4ryOOY9RPxp5EUCCbCd9IHZ9mmImHt4UMhCV/5FMJHrQ==" saltValue="4C0Hfgc9yZumVodjpuVNo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260</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93</v>
      </c>
      <c r="C9" s="133"/>
      <c r="D9" s="133"/>
      <c r="E9" s="133"/>
      <c r="F9" s="134"/>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9"/>
      <c r="C15" s="169"/>
      <c r="D15" s="169"/>
      <c r="E15" s="169"/>
      <c r="F15" s="169"/>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9"/>
      <c r="C21" s="169"/>
      <c r="D21" s="169"/>
      <c r="E21" s="169"/>
      <c r="F21" s="169"/>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9"/>
      <c r="C27" s="169"/>
      <c r="D27" s="169"/>
      <c r="E27" s="169"/>
      <c r="F27" s="169"/>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V6Ah7JJ7y3NqvxvRpDh3xlCclrfxc7yAZeg3NnByVaqu8djBk2Bk1OkB6hAqi1pMM+Q+9huLnQR6OfNzRDdLJQ==" saltValue="IDVmbzFujrUPkbtRmokOf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4" t="s">
        <v>181</v>
      </c>
      <c r="C3" s="124"/>
      <c r="D3" s="124"/>
      <c r="E3" s="1"/>
    </row>
    <row r="4" spans="1:5" ht="15" customHeight="1" x14ac:dyDescent="0.25">
      <c r="A4" s="1"/>
      <c r="B4" s="124"/>
      <c r="C4" s="124"/>
      <c r="D4" s="12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35160695.064179435</v>
      </c>
      <c r="D9" s="8" t="s">
        <v>3</v>
      </c>
      <c r="E9" s="1"/>
    </row>
    <row r="10" spans="1:5" ht="17.25" customHeight="1" x14ac:dyDescent="0.25">
      <c r="A10" s="1"/>
      <c r="B10" s="82" t="s">
        <v>39</v>
      </c>
      <c r="C10" s="7">
        <f>'Fane 11.1. Varige tillæg'!C13</f>
        <v>0</v>
      </c>
      <c r="D10" s="8" t="s">
        <v>3</v>
      </c>
      <c r="E10" s="1"/>
    </row>
    <row r="11" spans="1:5" ht="17.25" customHeight="1" x14ac:dyDescent="0.25">
      <c r="A11" s="1"/>
      <c r="B11" s="82" t="s">
        <v>40</v>
      </c>
      <c r="C11" s="9">
        <f>'Fane 11.1. Varige tillæg'!E13</f>
        <v>63371.470800000003</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118286.31807227214</v>
      </c>
      <c r="D16" s="8" t="s">
        <v>3</v>
      </c>
      <c r="E16" s="1"/>
    </row>
    <row r="17" spans="1:5" ht="17.25" customHeight="1" x14ac:dyDescent="0.25">
      <c r="A17" s="1"/>
      <c r="B17" s="82" t="s">
        <v>10</v>
      </c>
      <c r="C17" s="44">
        <f>-SUM(C9,C10:C16)*'Fane 5. Individuelt eff. krav'!G9</f>
        <v>0</v>
      </c>
      <c r="D17" s="8" t="s">
        <v>3</v>
      </c>
      <c r="E17" s="1"/>
    </row>
    <row r="18" spans="1:5" ht="17.25" customHeight="1" x14ac:dyDescent="0.25">
      <c r="A18" s="1"/>
      <c r="B18" s="82" t="s">
        <v>24</v>
      </c>
      <c r="C18" s="44">
        <f>-'Fane 4.1. Gen. krav - drift'!G45</f>
        <v>-136507.30715384951</v>
      </c>
      <c r="D18" s="8" t="s">
        <v>3</v>
      </c>
      <c r="E18" s="1"/>
    </row>
    <row r="19" spans="1:5" ht="17.25" customHeight="1" x14ac:dyDescent="0.25">
      <c r="A19" s="1"/>
      <c r="B19" s="82" t="s">
        <v>25</v>
      </c>
      <c r="C19" s="44">
        <f>-'Fane 4.2. Gen. krav - anlæg'!G43</f>
        <v>-420696.03566715639</v>
      </c>
      <c r="D19" s="8" t="s">
        <v>3</v>
      </c>
      <c r="E19" s="48"/>
    </row>
    <row r="20" spans="1:5" ht="17.25" customHeight="1" x14ac:dyDescent="0.25">
      <c r="A20" s="1"/>
      <c r="B20" s="88" t="s">
        <v>21</v>
      </c>
      <c r="C20" s="10">
        <f>SUM(C9:C19)</f>
        <v>34785149.510230698</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9938230.4177819379</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1344095.3057504382</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-40195</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46027280.233763076</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uh6ybOqXF74/cay7b7S0Zjj8+/uMIA09sYO4yVMBzyMKFt5tWh97kvEUKL3MFoIdCNiHYLf6sX2XGZZ5s0aVQ==" saltValue="oVZJz+Svo7uoYhUCcEunr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40" t="s">
        <v>261</v>
      </c>
      <c r="C3" s="140"/>
      <c r="D3" s="1"/>
    </row>
    <row r="4" spans="1:4" ht="25.5" customHeight="1" x14ac:dyDescent="0.25">
      <c r="A4" s="1"/>
      <c r="B4" s="140"/>
      <c r="C4" s="14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YFeF40JWx5P2f3+yok+1mtNDc4aYGlPp/9KLwoAKbYrCOIhy0AfkkFSpptnXU0pnnUPL1270VhthMpJ5GiHkjw==" saltValue="QMrKXdrdqdGSSs7Q4KajF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4" t="s">
        <v>186</v>
      </c>
      <c r="C3" s="124"/>
      <c r="D3" s="124"/>
      <c r="E3" s="1"/>
    </row>
    <row r="4" spans="1:5" ht="15" customHeight="1" x14ac:dyDescent="0.25">
      <c r="A4" s="1"/>
      <c r="B4" s="124"/>
      <c r="C4" s="124"/>
      <c r="D4" s="124"/>
      <c r="E4" s="1"/>
    </row>
    <row r="5" spans="1:5" x14ac:dyDescent="0.25">
      <c r="A5" s="1"/>
      <c r="B5" s="125" t="s">
        <v>22</v>
      </c>
      <c r="C5" s="125"/>
      <c r="D5" s="125"/>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34785149.510230698</v>
      </c>
      <c r="D9" s="8" t="s">
        <v>3</v>
      </c>
      <c r="E9" s="1"/>
    </row>
    <row r="10" spans="1:5" ht="15" customHeight="1" x14ac:dyDescent="0.25">
      <c r="A10" s="1"/>
      <c r="B10" s="25" t="s">
        <v>19</v>
      </c>
      <c r="C10" s="7">
        <f>SUM(C9:C9)*'Fane 15. Nøgletal'!C15</f>
        <v>1238351.3225642128</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-138539.62794275602</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35884961.204852156</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omk.'!C19+'Fane 6. Ikke-påvirkelige omk.'!C27</f>
        <v>10283122.015557857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1391945.0986351538</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47560028.319045164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W6t/IwNr/kRRGuGYjFO+MHz/saMyWArChXpjK5RjA52RCJeo1whauPgFx5iV6y8fQYXRaoCOcBkjxRuRgCgWag==" saltValue="BSpchDKbuPhy/DPiYQRvp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4" t="s">
        <v>187</v>
      </c>
      <c r="C3" s="124"/>
      <c r="D3" s="124"/>
      <c r="E3" s="1"/>
    </row>
    <row r="4" spans="1:5" ht="15" customHeight="1" x14ac:dyDescent="0.25">
      <c r="A4" s="1"/>
      <c r="B4" s="124"/>
      <c r="C4" s="124"/>
      <c r="D4" s="124"/>
      <c r="E4" s="1"/>
    </row>
    <row r="5" spans="1:5" x14ac:dyDescent="0.25">
      <c r="A5" s="1"/>
      <c r="B5" s="125" t="s">
        <v>22</v>
      </c>
      <c r="C5" s="125"/>
      <c r="D5" s="125"/>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35884961.204852156</v>
      </c>
      <c r="D9" s="8" t="s">
        <v>3</v>
      </c>
      <c r="E9" s="1"/>
    </row>
    <row r="10" spans="1:5" ht="15" customHeight="1" x14ac:dyDescent="0.25">
      <c r="A10" s="1"/>
      <c r="B10" s="25" t="s">
        <v>19</v>
      </c>
      <c r="C10" s="7">
        <f>SUM(C9:C9)*'Fane 15. Nøgletal'!C15</f>
        <v>1277504.6188927367</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-140602.20592356779</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37021863.617821328</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10640283.85797325</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1441498.3441465653</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49103645.819941141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FLMxZO8DTH0uRhqYfNG4lgG7kE0WMH/Sh+xQc62rg+7gzsowSskJuCDzrrCBMmkGsjWptHfIV/xkoSbnfoMqg==" saltValue="J28ocQeqszZJzKNngxeJX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4" t="s">
        <v>188</v>
      </c>
      <c r="C3" s="124"/>
      <c r="D3" s="124"/>
      <c r="E3" s="1"/>
    </row>
    <row r="4" spans="1:5" ht="15" customHeight="1" x14ac:dyDescent="0.25">
      <c r="A4" s="1"/>
      <c r="B4" s="124"/>
      <c r="C4" s="124"/>
      <c r="D4" s="124"/>
      <c r="E4" s="1"/>
    </row>
    <row r="5" spans="1:5" x14ac:dyDescent="0.25">
      <c r="A5" s="1"/>
      <c r="B5" s="125" t="s">
        <v>22</v>
      </c>
      <c r="C5" s="125"/>
      <c r="D5" s="125"/>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37021863.617821328</v>
      </c>
      <c r="D9" s="8" t="s">
        <v>3</v>
      </c>
      <c r="E9" s="1"/>
    </row>
    <row r="10" spans="1:5" ht="15" customHeight="1" x14ac:dyDescent="0.25">
      <c r="A10" s="1"/>
      <c r="B10" s="25" t="s">
        <v>19</v>
      </c>
      <c r="C10" s="7">
        <f>SUM(C9:C9)*'Fane 15. Nøgletal'!C15</f>
        <v>1317978.3447944394</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-142695.49156535786</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38197146.471050411</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10774675.42798873</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48971821.899039142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sqRoMFY9NdyGIZS1xBppNSC5d6qcSdhzLxYP+AEerhcXjrctMUgwuDaRUEohscxT+wDDeMfbN/WIlkCoNZJQw==" saltValue="Pgsok7sGLm9TLMb1YO1oQ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191</v>
      </c>
      <c r="C3" s="140"/>
      <c r="D3" s="140"/>
      <c r="E3" s="140"/>
      <c r="F3" s="140"/>
      <c r="G3" s="1"/>
    </row>
    <row r="4" spans="1:7" ht="29.2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35" t="s">
        <v>192</v>
      </c>
      <c r="C9" s="136"/>
      <c r="D9" s="137"/>
      <c r="E9" s="7">
        <v>35607636.232713215</v>
      </c>
      <c r="F9" s="8" t="s">
        <v>3</v>
      </c>
      <c r="G9" s="1"/>
    </row>
    <row r="10" spans="1:7" ht="15" customHeight="1" x14ac:dyDescent="0.25">
      <c r="A10" s="1"/>
      <c r="B10" s="126" t="s">
        <v>39</v>
      </c>
      <c r="C10" s="127"/>
      <c r="D10" s="128"/>
      <c r="E10" s="7">
        <v>0</v>
      </c>
      <c r="F10" s="8" t="s">
        <v>3</v>
      </c>
      <c r="G10" s="1"/>
    </row>
    <row r="11" spans="1:7" ht="15" customHeight="1" x14ac:dyDescent="0.25">
      <c r="A11" s="1"/>
      <c r="B11" s="126" t="s">
        <v>40</v>
      </c>
      <c r="C11" s="127"/>
      <c r="D11" s="128"/>
      <c r="E11" s="9">
        <v>0</v>
      </c>
      <c r="F11" s="8" t="s">
        <v>3</v>
      </c>
      <c r="G11" s="1"/>
    </row>
    <row r="12" spans="1:7" ht="15" customHeight="1" x14ac:dyDescent="0.25">
      <c r="A12" s="1"/>
      <c r="B12" s="126" t="s">
        <v>27</v>
      </c>
      <c r="C12" s="127"/>
      <c r="D12" s="128"/>
      <c r="E12" s="9">
        <v>0</v>
      </c>
      <c r="F12" s="8" t="s">
        <v>3</v>
      </c>
      <c r="G12" s="1"/>
    </row>
    <row r="13" spans="1:7" ht="15" customHeight="1" x14ac:dyDescent="0.25">
      <c r="A13" s="1"/>
      <c r="B13" s="135" t="s">
        <v>26</v>
      </c>
      <c r="C13" s="136"/>
      <c r="D13" s="137"/>
      <c r="E13" s="9">
        <v>0</v>
      </c>
      <c r="F13" s="8" t="s">
        <v>3</v>
      </c>
      <c r="G13" s="1"/>
    </row>
    <row r="14" spans="1:7" ht="15" customHeight="1" x14ac:dyDescent="0.25">
      <c r="A14" s="1"/>
      <c r="B14" s="135" t="s">
        <v>29</v>
      </c>
      <c r="C14" s="136"/>
      <c r="D14" s="137"/>
      <c r="E14" s="9">
        <v>0</v>
      </c>
      <c r="F14" s="8" t="s">
        <v>3</v>
      </c>
      <c r="G14" s="1"/>
    </row>
    <row r="15" spans="1:7" ht="15" customHeight="1" x14ac:dyDescent="0.25">
      <c r="A15" s="1"/>
      <c r="B15" s="135" t="s">
        <v>28</v>
      </c>
      <c r="C15" s="136"/>
      <c r="D15" s="137"/>
      <c r="E15" s="9">
        <v>0</v>
      </c>
      <c r="F15" s="8" t="s">
        <v>3</v>
      </c>
      <c r="G15" s="1"/>
    </row>
    <row r="16" spans="1:7" ht="15" customHeight="1" x14ac:dyDescent="0.25">
      <c r="A16" s="1"/>
      <c r="B16" s="135" t="s">
        <v>19</v>
      </c>
      <c r="C16" s="136"/>
      <c r="D16" s="137"/>
      <c r="E16" s="9">
        <f>SUM(E9:E15)*'Fane 15. Nøgletal'!C14</f>
        <v>117505.1995679536</v>
      </c>
      <c r="F16" s="8" t="s">
        <v>3</v>
      </c>
      <c r="G16" s="1"/>
    </row>
    <row r="17" spans="1:7" ht="15" customHeight="1" x14ac:dyDescent="0.25">
      <c r="A17" s="1"/>
      <c r="B17" s="135" t="s">
        <v>10</v>
      </c>
      <c r="C17" s="136"/>
      <c r="D17" s="137"/>
      <c r="E17" s="9">
        <v>0</v>
      </c>
      <c r="F17" s="8" t="s">
        <v>3</v>
      </c>
      <c r="G17" s="1"/>
    </row>
    <row r="18" spans="1:7" ht="15" customHeight="1" x14ac:dyDescent="0.25">
      <c r="A18" s="1"/>
      <c r="B18" s="135" t="s">
        <v>24</v>
      </c>
      <c r="C18" s="136"/>
      <c r="D18" s="137"/>
      <c r="E18" s="9">
        <f>-'Fane 4.1. Gen. krav - drift'!G39</f>
        <v>-138835.01501560106</v>
      </c>
      <c r="F18" s="8" t="s">
        <v>3</v>
      </c>
      <c r="G18" s="1"/>
    </row>
    <row r="19" spans="1:7" ht="15" customHeight="1" x14ac:dyDescent="0.25">
      <c r="A19" s="1"/>
      <c r="B19" s="135" t="s">
        <v>25</v>
      </c>
      <c r="C19" s="136"/>
      <c r="D19" s="137"/>
      <c r="E19" s="9">
        <f>-'Fane 4.2. Gen. krav - anlæg'!G37</f>
        <v>-425611.35308613162</v>
      </c>
      <c r="F19" s="8" t="s">
        <v>3</v>
      </c>
      <c r="G19" s="1"/>
    </row>
    <row r="20" spans="1:7" ht="15" customHeight="1" x14ac:dyDescent="0.25">
      <c r="A20" s="1"/>
      <c r="B20" s="54" t="s">
        <v>21</v>
      </c>
      <c r="C20" s="100"/>
      <c r="D20" s="102"/>
      <c r="E20" s="51">
        <f>SUM(E9:E19)</f>
        <v>35160695.064179435</v>
      </c>
      <c r="F20" s="53" t="s">
        <v>3</v>
      </c>
      <c r="G20" s="1"/>
    </row>
    <row r="21" spans="1:7" ht="15" customHeight="1" x14ac:dyDescent="0.25">
      <c r="A21" s="1"/>
      <c r="B21" s="32" t="s">
        <v>12</v>
      </c>
      <c r="C21" s="27"/>
      <c r="D21" s="27"/>
      <c r="E21" s="27"/>
      <c r="F21" s="19"/>
      <c r="G21" s="1"/>
    </row>
    <row r="22" spans="1:7" ht="15" customHeight="1" x14ac:dyDescent="0.25">
      <c r="A22" s="1"/>
      <c r="B22" s="129" t="s">
        <v>12</v>
      </c>
      <c r="C22" s="130"/>
      <c r="D22" s="131"/>
      <c r="E22" s="10">
        <v>10038074.949635122</v>
      </c>
      <c r="F22" s="11" t="s">
        <v>3</v>
      </c>
      <c r="G22" s="1"/>
    </row>
    <row r="23" spans="1:7" ht="15" customHeight="1" x14ac:dyDescent="0.25">
      <c r="A23" s="1"/>
      <c r="B23" s="132" t="s">
        <v>86</v>
      </c>
      <c r="C23" s="133"/>
      <c r="D23" s="134"/>
      <c r="E23" s="27"/>
      <c r="F23" s="19"/>
      <c r="G23" s="1"/>
    </row>
    <row r="24" spans="1:7" ht="15" customHeight="1" x14ac:dyDescent="0.25">
      <c r="A24" s="1"/>
      <c r="B24" s="99" t="s">
        <v>86</v>
      </c>
      <c r="C24" s="37"/>
      <c r="D24" s="38"/>
      <c r="E24" s="10">
        <v>1246352.5487437085</v>
      </c>
      <c r="F24" s="11" t="s">
        <v>3</v>
      </c>
      <c r="G24" s="1"/>
    </row>
    <row r="25" spans="1:7" x14ac:dyDescent="0.25">
      <c r="A25" s="1"/>
      <c r="B25" s="32" t="s">
        <v>85</v>
      </c>
      <c r="C25" s="27"/>
      <c r="D25" s="27"/>
      <c r="E25" s="27"/>
      <c r="F25" s="19"/>
      <c r="G25" s="1"/>
    </row>
    <row r="26" spans="1:7" ht="15" customHeight="1" x14ac:dyDescent="0.25">
      <c r="A26" s="1"/>
      <c r="B26" s="126" t="s">
        <v>81</v>
      </c>
      <c r="C26" s="127"/>
      <c r="D26" s="128"/>
      <c r="E26" s="9">
        <v>0</v>
      </c>
      <c r="F26" s="8" t="s">
        <v>3</v>
      </c>
      <c r="G26" s="1"/>
    </row>
    <row r="27" spans="1:7" ht="15" customHeight="1" x14ac:dyDescent="0.25">
      <c r="A27" s="1"/>
      <c r="B27" s="126" t="s">
        <v>82</v>
      </c>
      <c r="C27" s="127"/>
      <c r="D27" s="127"/>
      <c r="E27" s="9">
        <v>0</v>
      </c>
      <c r="F27" s="8" t="s">
        <v>3</v>
      </c>
      <c r="G27" s="1"/>
    </row>
    <row r="28" spans="1:7" ht="15" customHeight="1" x14ac:dyDescent="0.25">
      <c r="A28" s="1"/>
      <c r="B28" s="138" t="s">
        <v>87</v>
      </c>
      <c r="C28" s="139"/>
      <c r="D28" s="139"/>
      <c r="E28" s="39">
        <v>0</v>
      </c>
      <c r="F28" s="11" t="s">
        <v>3</v>
      </c>
      <c r="G28" s="1"/>
    </row>
    <row r="29" spans="1:7" ht="15" customHeight="1" x14ac:dyDescent="0.25">
      <c r="A29" s="1"/>
      <c r="B29" s="32" t="s">
        <v>143</v>
      </c>
      <c r="C29" s="32"/>
      <c r="D29" s="32"/>
      <c r="E29" s="27"/>
      <c r="F29" s="19"/>
      <c r="G29" s="1"/>
    </row>
    <row r="30" spans="1:7" ht="15" customHeight="1" x14ac:dyDescent="0.25">
      <c r="A30" s="1"/>
      <c r="B30" s="129" t="s">
        <v>142</v>
      </c>
      <c r="C30" s="130"/>
      <c r="D30" s="130"/>
      <c r="E30" s="39">
        <v>0</v>
      </c>
      <c r="F30" s="11" t="s">
        <v>3</v>
      </c>
      <c r="G30" s="1"/>
    </row>
    <row r="31" spans="1:7" x14ac:dyDescent="0.25">
      <c r="A31" s="1"/>
      <c r="B31" s="32" t="s">
        <v>123</v>
      </c>
      <c r="C31" s="27"/>
      <c r="D31" s="27"/>
      <c r="E31" s="27"/>
      <c r="F31" s="19"/>
      <c r="G31" s="1"/>
    </row>
    <row r="32" spans="1:7" ht="15.4" customHeight="1" x14ac:dyDescent="0.25">
      <c r="A32" s="1"/>
      <c r="B32" s="129" t="s">
        <v>123</v>
      </c>
      <c r="C32" s="130"/>
      <c r="D32" s="131"/>
      <c r="E32" s="10">
        <v>-30516</v>
      </c>
      <c r="F32" s="11" t="s">
        <v>3</v>
      </c>
      <c r="G32" s="1"/>
    </row>
    <row r="33" spans="1:7" ht="15.4" customHeight="1" x14ac:dyDescent="0.25">
      <c r="A33" s="1"/>
      <c r="B33" s="132" t="s">
        <v>175</v>
      </c>
      <c r="C33" s="133"/>
      <c r="D33" s="133"/>
      <c r="E33" s="133"/>
      <c r="F33" s="134"/>
      <c r="G33" s="1"/>
    </row>
    <row r="34" spans="1:7" ht="15.4" customHeight="1" x14ac:dyDescent="0.25">
      <c r="A34" s="1"/>
      <c r="B34" s="101" t="s">
        <v>176</v>
      </c>
      <c r="C34" s="10"/>
      <c r="D34" s="11"/>
      <c r="E34" s="10">
        <f>'Fane 8. Skattesagen'!G11</f>
        <v>0</v>
      </c>
      <c r="F34" s="11" t="s">
        <v>3</v>
      </c>
      <c r="G34" s="1"/>
    </row>
    <row r="35" spans="1:7" x14ac:dyDescent="0.25">
      <c r="A35" s="1"/>
      <c r="B35" s="55" t="s">
        <v>218</v>
      </c>
      <c r="C35" s="56"/>
      <c r="D35" s="19"/>
      <c r="E35" s="45">
        <f>SUM(E32,E30,E28,E24,E22,E20,E34)</f>
        <v>46414606.562558264</v>
      </c>
      <c r="F35" s="52" t="s">
        <v>3</v>
      </c>
      <c r="G35" s="1"/>
    </row>
    <row r="36" spans="1:7" ht="27" customHeight="1" x14ac:dyDescent="0.25">
      <c r="A36" s="1"/>
      <c r="B36" s="135" t="s">
        <v>222</v>
      </c>
      <c r="C36" s="136"/>
      <c r="D36" s="136"/>
      <c r="E36" s="136"/>
      <c r="F36" s="13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F/fHApinmJhme2BZUjvRaluOE1K5hHdwqSiWOeWPoiZKEu7xcZrPgpCNqneiIpZQfxle3qrpEYWa+rCDv3hYcg==" saltValue="JbEoBAxFkknZV4ixiBeGJ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1.7109375" style="2" customWidth="1"/>
    <col min="2" max="5" width="9.140625" style="2"/>
    <col min="6" max="6" width="26" style="2" customWidth="1"/>
    <col min="7" max="7" width="16.28515625" style="2" customWidth="1"/>
    <col min="8" max="8" width="3.42578125" style="2" customWidth="1"/>
    <col min="9" max="9" width="2"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40" t="s">
        <v>109</v>
      </c>
      <c r="C2" s="140"/>
      <c r="D2" s="140"/>
      <c r="E2" s="140"/>
      <c r="F2" s="140"/>
      <c r="G2" s="140"/>
      <c r="H2" s="140"/>
      <c r="I2" s="1"/>
    </row>
    <row r="3" spans="1:9" ht="28.5" customHeight="1" x14ac:dyDescent="0.25">
      <c r="A3" s="1"/>
      <c r="B3" s="140"/>
      <c r="C3" s="140"/>
      <c r="D3" s="140"/>
      <c r="E3" s="140"/>
      <c r="F3" s="140"/>
      <c r="G3" s="140"/>
      <c r="H3" s="140"/>
      <c r="I3" s="1"/>
    </row>
    <row r="4" spans="1:9" x14ac:dyDescent="0.25">
      <c r="A4" s="1"/>
      <c r="B4" s="132" t="s">
        <v>52</v>
      </c>
      <c r="C4" s="133"/>
      <c r="D4" s="133"/>
      <c r="E4" s="133"/>
      <c r="F4" s="133"/>
      <c r="G4" s="133"/>
      <c r="H4" s="134"/>
      <c r="I4" s="1"/>
    </row>
    <row r="5" spans="1:9" x14ac:dyDescent="0.25">
      <c r="A5" s="1"/>
      <c r="B5" s="142" t="s">
        <v>41</v>
      </c>
      <c r="C5" s="143"/>
      <c r="D5" s="143"/>
      <c r="E5" s="143"/>
      <c r="F5" s="144"/>
      <c r="G5" s="98">
        <v>7047539.7123830002</v>
      </c>
      <c r="H5" s="14" t="s">
        <v>3</v>
      </c>
      <c r="I5" s="1"/>
    </row>
    <row r="6" spans="1:9" x14ac:dyDescent="0.25">
      <c r="A6" s="1"/>
      <c r="B6" s="135" t="s">
        <v>120</v>
      </c>
      <c r="C6" s="136"/>
      <c r="D6" s="136"/>
      <c r="E6" s="136"/>
      <c r="F6" s="137"/>
      <c r="G6" s="77">
        <v>1197481</v>
      </c>
      <c r="H6" s="14" t="s">
        <v>3</v>
      </c>
      <c r="I6" s="1"/>
    </row>
    <row r="7" spans="1:9" x14ac:dyDescent="0.25">
      <c r="A7" s="1"/>
      <c r="B7" s="142" t="s">
        <v>42</v>
      </c>
      <c r="C7" s="143"/>
      <c r="D7" s="143"/>
      <c r="E7" s="143"/>
      <c r="F7" s="144"/>
      <c r="G7" s="76">
        <f>SUM(G5:G6)*'Fane 15. Nøgletal'!C31</f>
        <v>164900.41424766</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2" t="s">
        <v>53</v>
      </c>
      <c r="C10" s="133"/>
      <c r="D10" s="133"/>
      <c r="E10" s="133"/>
      <c r="F10" s="133"/>
      <c r="G10" s="141"/>
      <c r="H10" s="134"/>
      <c r="I10" s="1"/>
    </row>
    <row r="11" spans="1:9" x14ac:dyDescent="0.25">
      <c r="A11" s="1"/>
      <c r="B11" s="142" t="s">
        <v>43</v>
      </c>
      <c r="C11" s="143"/>
      <c r="D11" s="143"/>
      <c r="E11" s="143"/>
      <c r="F11" s="144"/>
      <c r="G11" s="76">
        <f>(G5-G7)*(1+'Fane 15. Nøgletal'!C10)</f>
        <v>7003085.485852709</v>
      </c>
      <c r="H11" s="14" t="s">
        <v>3</v>
      </c>
      <c r="I11" s="1"/>
    </row>
    <row r="12" spans="1:9" ht="15" customHeight="1" x14ac:dyDescent="0.25">
      <c r="A12" s="1"/>
      <c r="B12" s="142" t="s">
        <v>121</v>
      </c>
      <c r="C12" s="143"/>
      <c r="D12" s="143"/>
      <c r="E12" s="143"/>
      <c r="F12" s="144"/>
      <c r="G12" s="77">
        <v>-9886.4222096944395</v>
      </c>
      <c r="H12" s="14" t="s">
        <v>3</v>
      </c>
      <c r="I12" s="1"/>
    </row>
    <row r="13" spans="1:9" x14ac:dyDescent="0.25">
      <c r="A13" s="1"/>
      <c r="B13" s="135" t="s">
        <v>118</v>
      </c>
      <c r="C13" s="136"/>
      <c r="D13" s="136"/>
      <c r="E13" s="136"/>
      <c r="F13" s="137"/>
      <c r="G13" s="77">
        <v>1218436.9175</v>
      </c>
      <c r="H13" s="14" t="s">
        <v>3</v>
      </c>
      <c r="I13" s="1"/>
    </row>
    <row r="14" spans="1:9" x14ac:dyDescent="0.25">
      <c r="A14" s="1"/>
      <c r="B14" s="145" t="s">
        <v>44</v>
      </c>
      <c r="C14" s="146"/>
      <c r="D14" s="146"/>
      <c r="E14" s="146"/>
      <c r="F14" s="147"/>
      <c r="G14" s="77">
        <v>0</v>
      </c>
      <c r="H14" s="14" t="s">
        <v>3</v>
      </c>
      <c r="I14" s="1"/>
    </row>
    <row r="15" spans="1:9" x14ac:dyDescent="0.25">
      <c r="A15" s="1"/>
      <c r="B15" s="142" t="s">
        <v>45</v>
      </c>
      <c r="C15" s="143"/>
      <c r="D15" s="143"/>
      <c r="E15" s="143"/>
      <c r="F15" s="144"/>
      <c r="G15" s="76">
        <f>SUM(G11:G14)*'Fane 15. Nøgletal'!C31</f>
        <v>164232.71962286028</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2" t="s">
        <v>54</v>
      </c>
      <c r="C18" s="133"/>
      <c r="D18" s="133"/>
      <c r="E18" s="133"/>
      <c r="F18" s="133"/>
      <c r="G18" s="141"/>
      <c r="H18" s="134"/>
      <c r="I18" s="1"/>
    </row>
    <row r="19" spans="1:9" x14ac:dyDescent="0.25">
      <c r="A19" s="1"/>
      <c r="B19" s="142" t="s">
        <v>46</v>
      </c>
      <c r="C19" s="143"/>
      <c r="D19" s="143"/>
      <c r="E19" s="143"/>
      <c r="F19" s="144"/>
      <c r="G19" s="76">
        <f>(SUM(G11:G12,G14)-(G15))*(1+'Fane 15. Nøgletal'!C10)</f>
        <v>6948473.2550405078</v>
      </c>
      <c r="H19" s="14" t="s">
        <v>3</v>
      </c>
      <c r="I19" s="1"/>
    </row>
    <row r="20" spans="1:9" x14ac:dyDescent="0.25">
      <c r="A20" s="1"/>
      <c r="B20" s="145" t="s">
        <v>47</v>
      </c>
      <c r="C20" s="146"/>
      <c r="D20" s="146"/>
      <c r="E20" s="146"/>
      <c r="F20" s="147"/>
      <c r="G20" s="77">
        <v>0</v>
      </c>
      <c r="H20" s="14" t="s">
        <v>3</v>
      </c>
      <c r="I20" s="1"/>
    </row>
    <row r="21" spans="1:9" x14ac:dyDescent="0.25">
      <c r="A21" s="1"/>
      <c r="B21" s="142" t="s">
        <v>48</v>
      </c>
      <c r="C21" s="143"/>
      <c r="D21" s="143"/>
      <c r="E21" s="143"/>
      <c r="F21" s="144"/>
      <c r="G21" s="76">
        <f>SUM(G19:G20)*'Fane 15. Nøgletal'!C31</f>
        <v>138969.46510081016</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2" t="s">
        <v>55</v>
      </c>
      <c r="C24" s="133"/>
      <c r="D24" s="133"/>
      <c r="E24" s="133"/>
      <c r="F24" s="133"/>
      <c r="G24" s="141"/>
      <c r="H24" s="134"/>
      <c r="I24" s="1"/>
    </row>
    <row r="25" spans="1:9" x14ac:dyDescent="0.25">
      <c r="A25" s="1"/>
      <c r="B25" s="142" t="s">
        <v>49</v>
      </c>
      <c r="C25" s="143"/>
      <c r="D25" s="143"/>
      <c r="E25" s="143"/>
      <c r="F25" s="144"/>
      <c r="G25" s="76">
        <f>(G19+G20-G21)*(1+'Fane 15. Nøgletal'!C12)</f>
        <v>6943651.01460151</v>
      </c>
      <c r="H25" s="14" t="s">
        <v>3</v>
      </c>
      <c r="I25" s="1"/>
    </row>
    <row r="26" spans="1:9" x14ac:dyDescent="0.25">
      <c r="A26" s="1"/>
      <c r="B26" s="145" t="s">
        <v>50</v>
      </c>
      <c r="C26" s="146"/>
      <c r="D26" s="146"/>
      <c r="E26" s="146"/>
      <c r="F26" s="147"/>
      <c r="G26" s="77">
        <v>80165.582162820006</v>
      </c>
      <c r="H26" s="14" t="s">
        <v>3</v>
      </c>
      <c r="I26" s="1"/>
    </row>
    <row r="27" spans="1:9" x14ac:dyDescent="0.25">
      <c r="A27" s="1"/>
      <c r="B27" s="142" t="s">
        <v>51</v>
      </c>
      <c r="C27" s="143"/>
      <c r="D27" s="143"/>
      <c r="E27" s="143"/>
      <c r="F27" s="144"/>
      <c r="G27" s="76">
        <f>(G25+G26)*'Fane 15. Nøgletal'!C31</f>
        <v>140476.33193528661</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2" t="s">
        <v>58</v>
      </c>
      <c r="C30" s="133"/>
      <c r="D30" s="133"/>
      <c r="E30" s="133"/>
      <c r="F30" s="133"/>
      <c r="G30" s="141"/>
      <c r="H30" s="134"/>
      <c r="I30" s="1"/>
    </row>
    <row r="31" spans="1:9" x14ac:dyDescent="0.25">
      <c r="A31" s="1"/>
      <c r="B31" s="142" t="s">
        <v>59</v>
      </c>
      <c r="C31" s="143"/>
      <c r="D31" s="143"/>
      <c r="E31" s="143"/>
      <c r="F31" s="144"/>
      <c r="G31" s="76">
        <f>(G25+G26-G27)*(1+'Fane 15. Nøgletal'!C12)</f>
        <v>7018942.0680461759</v>
      </c>
      <c r="H31" s="14" t="s">
        <v>3</v>
      </c>
      <c r="I31" s="1"/>
    </row>
    <row r="32" spans="1:9" x14ac:dyDescent="0.25">
      <c r="A32" s="1"/>
      <c r="B32" s="142" t="s">
        <v>137</v>
      </c>
      <c r="C32" s="143"/>
      <c r="D32" s="143"/>
      <c r="E32" s="143"/>
      <c r="F32" s="144"/>
      <c r="G32" s="76">
        <v>41178.666977280001</v>
      </c>
      <c r="H32" s="14" t="s">
        <v>3</v>
      </c>
      <c r="I32" s="1"/>
    </row>
    <row r="33" spans="1:9" x14ac:dyDescent="0.25">
      <c r="A33" s="1"/>
      <c r="B33" s="142" t="s">
        <v>60</v>
      </c>
      <c r="C33" s="143"/>
      <c r="D33" s="143"/>
      <c r="E33" s="143"/>
      <c r="F33" s="144"/>
      <c r="G33" s="76">
        <f>(G31+G32)*'Fane 15. Nøgletal'!C31</f>
        <v>141202.41470046912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2" t="s">
        <v>160</v>
      </c>
      <c r="C36" s="133"/>
      <c r="D36" s="133"/>
      <c r="E36" s="133"/>
      <c r="F36" s="133"/>
      <c r="G36" s="141"/>
      <c r="H36" s="134"/>
      <c r="I36" s="1"/>
    </row>
    <row r="37" spans="1:9" x14ac:dyDescent="0.25">
      <c r="A37" s="1"/>
      <c r="B37" s="142" t="s">
        <v>79</v>
      </c>
      <c r="C37" s="143"/>
      <c r="D37" s="143"/>
      <c r="E37" s="143"/>
      <c r="F37" s="144"/>
      <c r="G37" s="76">
        <f>(G31+G32-G33)*(1+'Fane 15. Nøgletal'!C14)</f>
        <v>6941750.7507800534</v>
      </c>
      <c r="H37" s="14" t="s">
        <v>3</v>
      </c>
      <c r="I37" s="1"/>
    </row>
    <row r="38" spans="1:9" x14ac:dyDescent="0.25">
      <c r="A38" s="1"/>
      <c r="B38" s="142" t="s">
        <v>164</v>
      </c>
      <c r="C38" s="143"/>
      <c r="D38" s="143"/>
      <c r="E38" s="143"/>
      <c r="F38" s="144"/>
      <c r="G38" s="76">
        <v>0</v>
      </c>
      <c r="H38" s="14" t="s">
        <v>3</v>
      </c>
      <c r="I38" s="1"/>
    </row>
    <row r="39" spans="1:9" x14ac:dyDescent="0.25">
      <c r="A39" s="1"/>
      <c r="B39" s="142" t="s">
        <v>162</v>
      </c>
      <c r="C39" s="143"/>
      <c r="D39" s="143"/>
      <c r="E39" s="143"/>
      <c r="F39" s="144"/>
      <c r="G39" s="76">
        <f>(G37+G38)*'Fane 15. Nøgletal'!C31</f>
        <v>138835.01501560106</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2" t="s">
        <v>161</v>
      </c>
      <c r="C42" s="133"/>
      <c r="D42" s="133"/>
      <c r="E42" s="133"/>
      <c r="F42" s="133"/>
      <c r="G42" s="141"/>
      <c r="H42" s="134"/>
      <c r="I42" s="1"/>
    </row>
    <row r="43" spans="1:9" x14ac:dyDescent="0.25">
      <c r="A43" s="1"/>
      <c r="B43" s="142" t="s">
        <v>228</v>
      </c>
      <c r="C43" s="143"/>
      <c r="D43" s="143"/>
      <c r="E43" s="143"/>
      <c r="F43" s="144"/>
      <c r="G43" s="76">
        <f>(G37+G38-G39)*(1+'Fane 15. Nøgletal'!C14)</f>
        <v>6825365.3576924754</v>
      </c>
      <c r="H43" s="14" t="s">
        <v>3</v>
      </c>
      <c r="I43" s="1"/>
    </row>
    <row r="44" spans="1:9" x14ac:dyDescent="0.25">
      <c r="A44" s="1"/>
      <c r="B44" s="148" t="s">
        <v>230</v>
      </c>
      <c r="C44" s="149"/>
      <c r="D44" s="149"/>
      <c r="E44" s="149"/>
      <c r="F44" s="150"/>
      <c r="G44" s="80">
        <f>('Fane 2.1. Økonomisk ramme 2023'!C10+'Fane 2.1. Økonomisk ramme 2023'!C12+'Fane 2.1. Økonomisk ramme 2023'!C14)*(1+'Fane 15. Nøgletal'!C15)</f>
        <v>0</v>
      </c>
      <c r="H44" s="14" t="s">
        <v>3</v>
      </c>
      <c r="I44" s="1"/>
    </row>
    <row r="45" spans="1:9" x14ac:dyDescent="0.25">
      <c r="A45" s="1"/>
      <c r="B45" s="142" t="s">
        <v>163</v>
      </c>
      <c r="C45" s="143"/>
      <c r="D45" s="143"/>
      <c r="E45" s="143"/>
      <c r="F45" s="144"/>
      <c r="G45" s="76">
        <f>SUM(G43:G44)*'Fane 15. Nøgletal'!C31</f>
        <v>136507.30715384951</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2" t="s">
        <v>241</v>
      </c>
      <c r="C51" s="133"/>
      <c r="D51" s="133"/>
      <c r="E51" s="133"/>
      <c r="F51" s="133"/>
      <c r="G51" s="141"/>
      <c r="H51" s="134"/>
      <c r="I51" s="1"/>
    </row>
    <row r="52" spans="1:9" x14ac:dyDescent="0.25">
      <c r="A52" s="1"/>
      <c r="B52" s="142" t="s">
        <v>227</v>
      </c>
      <c r="C52" s="143"/>
      <c r="D52" s="143"/>
      <c r="E52" s="143"/>
      <c r="F52" s="144"/>
      <c r="G52" s="76">
        <f>(G43+G44-G45)*(1+'Fane 15. Nøgletal'!C15)</f>
        <v>6926981.3971378012</v>
      </c>
      <c r="H52" s="14" t="s">
        <v>3</v>
      </c>
      <c r="I52" s="1"/>
    </row>
    <row r="53" spans="1:9" x14ac:dyDescent="0.25">
      <c r="A53" s="1"/>
      <c r="B53" s="142" t="s">
        <v>138</v>
      </c>
      <c r="C53" s="143"/>
      <c r="D53" s="143"/>
      <c r="E53" s="143"/>
      <c r="F53" s="144"/>
      <c r="G53" s="76">
        <f>(G52)*'Fane 15. Nøgletal'!C31</f>
        <v>138539.62794275602</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2" t="s">
        <v>150</v>
      </c>
      <c r="C56" s="133"/>
      <c r="D56" s="133"/>
      <c r="E56" s="133"/>
      <c r="F56" s="133"/>
      <c r="G56" s="141"/>
      <c r="H56" s="134"/>
      <c r="I56" s="1"/>
    </row>
    <row r="57" spans="1:9" x14ac:dyDescent="0.25">
      <c r="A57" s="1"/>
      <c r="B57" s="91" t="s">
        <v>151</v>
      </c>
      <c r="C57" s="92"/>
      <c r="D57" s="92"/>
      <c r="E57" s="92"/>
      <c r="F57" s="93"/>
      <c r="G57" s="76">
        <f>(G52-G53)*(1+'Fane 15. Nøgletal'!C15)</f>
        <v>7030110.2961783893</v>
      </c>
      <c r="H57" s="14" t="s">
        <v>3</v>
      </c>
      <c r="I57" s="1"/>
    </row>
    <row r="58" spans="1:9" x14ac:dyDescent="0.25">
      <c r="A58" s="1"/>
      <c r="B58" s="91" t="s">
        <v>152</v>
      </c>
      <c r="C58" s="92"/>
      <c r="D58" s="92"/>
      <c r="E58" s="92"/>
      <c r="F58" s="93"/>
      <c r="G58" s="76">
        <f>(G57)*'Fane 15. Nøgletal'!C31</f>
        <v>140602.20592356779</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2" t="s">
        <v>193</v>
      </c>
      <c r="C61" s="133"/>
      <c r="D61" s="133"/>
      <c r="E61" s="133"/>
      <c r="F61" s="133"/>
      <c r="G61" s="141"/>
      <c r="H61" s="134"/>
      <c r="I61" s="1"/>
    </row>
    <row r="62" spans="1:9" x14ac:dyDescent="0.25">
      <c r="A62" s="1"/>
      <c r="B62" s="91" t="s">
        <v>194</v>
      </c>
      <c r="C62" s="92"/>
      <c r="D62" s="92"/>
      <c r="E62" s="92"/>
      <c r="F62" s="93"/>
      <c r="G62" s="76">
        <f>(G57-G58)*(1+'Fane 15. Nøgletal'!C15)</f>
        <v>7134774.5782678938</v>
      </c>
      <c r="H62" s="14" t="s">
        <v>3</v>
      </c>
      <c r="I62" s="1"/>
    </row>
    <row r="63" spans="1:9" x14ac:dyDescent="0.25">
      <c r="A63" s="1"/>
      <c r="B63" s="91" t="s">
        <v>195</v>
      </c>
      <c r="C63" s="92"/>
      <c r="D63" s="92"/>
      <c r="E63" s="92"/>
      <c r="F63" s="93"/>
      <c r="G63" s="76">
        <f>(G62)*'Fane 15. Nøgletal'!C31</f>
        <v>142695.49156535786</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iO6p9jWWrqwHjJgQv52UYUwNLNVmAfrd5bHzHcKS7Uel254ZoKT7Avmse+ti+jGRbgLZa4vAoAS9q7YzhYSAjw==" saltValue="/w4wVU8ViovPITTI9VR3s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85546875" style="2" customWidth="1"/>
    <col min="2" max="5" width="9.140625" style="2"/>
    <col min="6" max="6" width="29.28515625" style="2" customWidth="1"/>
    <col min="7" max="7" width="14.140625" style="2" customWidth="1"/>
    <col min="8" max="8" width="3.28515625" style="2" customWidth="1"/>
    <col min="9" max="9" width="1.7109375" style="2" customWidth="1"/>
    <col min="10" max="16384" width="9.140625" style="2"/>
  </cols>
  <sheetData>
    <row r="1" spans="1:9" ht="14.25" customHeight="1" x14ac:dyDescent="0.25">
      <c r="A1" s="1"/>
      <c r="B1" s="151" t="s">
        <v>110</v>
      </c>
      <c r="C1" s="151"/>
      <c r="D1" s="151"/>
      <c r="E1" s="151"/>
      <c r="F1" s="151"/>
      <c r="G1" s="151"/>
      <c r="H1" s="151"/>
      <c r="I1" s="1"/>
    </row>
    <row r="2" spans="1:9" ht="15" customHeight="1" x14ac:dyDescent="0.25">
      <c r="A2" s="1"/>
      <c r="B2" s="151"/>
      <c r="C2" s="151"/>
      <c r="D2" s="151"/>
      <c r="E2" s="151"/>
      <c r="F2" s="151"/>
      <c r="G2" s="151"/>
      <c r="H2" s="151"/>
      <c r="I2" s="1"/>
    </row>
    <row r="3" spans="1:9" ht="15" customHeight="1" x14ac:dyDescent="0.25">
      <c r="A3" s="1"/>
      <c r="B3" s="152"/>
      <c r="C3" s="152"/>
      <c r="D3" s="152"/>
      <c r="E3" s="152"/>
      <c r="F3" s="152"/>
      <c r="G3" s="152"/>
      <c r="H3" s="152"/>
      <c r="I3" s="1"/>
    </row>
    <row r="4" spans="1:9" x14ac:dyDescent="0.25">
      <c r="A4" s="1"/>
      <c r="B4" s="132" t="s">
        <v>56</v>
      </c>
      <c r="C4" s="133"/>
      <c r="D4" s="133"/>
      <c r="E4" s="133"/>
      <c r="F4" s="133"/>
      <c r="G4" s="133"/>
      <c r="H4" s="134"/>
      <c r="I4" s="1"/>
    </row>
    <row r="5" spans="1:9" x14ac:dyDescent="0.25">
      <c r="A5" s="1"/>
      <c r="B5" s="142" t="s">
        <v>61</v>
      </c>
      <c r="C5" s="143"/>
      <c r="D5" s="143"/>
      <c r="E5" s="143"/>
      <c r="F5" s="144"/>
      <c r="G5" s="76">
        <v>27997707.58392426</v>
      </c>
      <c r="H5" s="14" t="s">
        <v>3</v>
      </c>
      <c r="I5" s="1"/>
    </row>
    <row r="6" spans="1:9" x14ac:dyDescent="0.25">
      <c r="A6" s="1"/>
      <c r="B6" s="142" t="s">
        <v>57</v>
      </c>
      <c r="C6" s="143"/>
      <c r="D6" s="143"/>
      <c r="E6" s="143"/>
      <c r="F6" s="144"/>
      <c r="G6" s="76">
        <f>G5*'Fane 15. Nøgletal'!C20</f>
        <v>254779.13901371078</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2" t="s">
        <v>62</v>
      </c>
      <c r="C9" s="133"/>
      <c r="D9" s="133"/>
      <c r="E9" s="133"/>
      <c r="F9" s="133"/>
      <c r="G9" s="141"/>
      <c r="H9" s="134"/>
      <c r="I9" s="1"/>
    </row>
    <row r="10" spans="1:9" x14ac:dyDescent="0.25">
      <c r="A10" s="1"/>
      <c r="B10" s="142" t="s">
        <v>63</v>
      </c>
      <c r="C10" s="143"/>
      <c r="D10" s="143"/>
      <c r="E10" s="143"/>
      <c r="F10" s="144"/>
      <c r="G10" s="76">
        <f>(G5-G6)*(1+'Fane 15. Nøgletal'!C10)</f>
        <v>28228429.692696486</v>
      </c>
      <c r="H10" s="14" t="s">
        <v>3</v>
      </c>
      <c r="I10" s="1"/>
    </row>
    <row r="11" spans="1:9" x14ac:dyDescent="0.25">
      <c r="A11" s="1"/>
      <c r="B11" s="142" t="s">
        <v>122</v>
      </c>
      <c r="C11" s="143"/>
      <c r="D11" s="143"/>
      <c r="E11" s="143"/>
      <c r="F11" s="144"/>
      <c r="G11" s="76">
        <v>482388.48394439131</v>
      </c>
      <c r="H11" s="14" t="s">
        <v>3</v>
      </c>
      <c r="I11" s="1"/>
    </row>
    <row r="12" spans="1:9" x14ac:dyDescent="0.25">
      <c r="A12" s="1"/>
      <c r="B12" s="145" t="s">
        <v>64</v>
      </c>
      <c r="C12" s="146"/>
      <c r="D12" s="146"/>
      <c r="E12" s="146"/>
      <c r="F12" s="147"/>
      <c r="G12" s="77">
        <v>0</v>
      </c>
      <c r="H12" s="14" t="s">
        <v>3</v>
      </c>
      <c r="I12" s="1"/>
    </row>
    <row r="13" spans="1:9" x14ac:dyDescent="0.25">
      <c r="A13" s="1"/>
      <c r="B13" s="142" t="s">
        <v>65</v>
      </c>
      <c r="C13" s="143"/>
      <c r="D13" s="143"/>
      <c r="E13" s="143"/>
      <c r="F13" s="144"/>
      <c r="G13" s="76">
        <f>SUM(G10:G12)*'Fane 15. Nøgletal'!C21</f>
        <v>508181.48172654351</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2" t="s">
        <v>66</v>
      </c>
      <c r="C16" s="133"/>
      <c r="D16" s="133"/>
      <c r="E16" s="133"/>
      <c r="F16" s="133"/>
      <c r="G16" s="141"/>
      <c r="H16" s="134"/>
      <c r="I16" s="1"/>
    </row>
    <row r="17" spans="1:9" x14ac:dyDescent="0.25">
      <c r="A17" s="1"/>
      <c r="B17" s="142" t="s">
        <v>67</v>
      </c>
      <c r="C17" s="143"/>
      <c r="D17" s="143"/>
      <c r="E17" s="143"/>
      <c r="F17" s="144"/>
      <c r="G17" s="76">
        <f>(SUM(G10:G12)-G13)*(1+'Fane 15. Nøgletal'!C10)</f>
        <v>28696182.837075338</v>
      </c>
      <c r="H17" s="14" t="s">
        <v>3</v>
      </c>
      <c r="I17" s="1"/>
    </row>
    <row r="18" spans="1:9" x14ac:dyDescent="0.25">
      <c r="A18" s="1"/>
      <c r="B18" s="145" t="s">
        <v>68</v>
      </c>
      <c r="C18" s="146"/>
      <c r="D18" s="146"/>
      <c r="E18" s="146"/>
      <c r="F18" s="147"/>
      <c r="G18" s="76">
        <v>547814.09049676987</v>
      </c>
      <c r="H18" s="14" t="s">
        <v>3</v>
      </c>
      <c r="I18" s="1"/>
    </row>
    <row r="19" spans="1:9" x14ac:dyDescent="0.25">
      <c r="A19" s="1"/>
      <c r="B19" s="142" t="s">
        <v>69</v>
      </c>
      <c r="C19" s="143"/>
      <c r="D19" s="143"/>
      <c r="E19" s="143"/>
      <c r="F19" s="144"/>
      <c r="G19" s="76">
        <f>G17*'Fane 15. Nøgletal'!C21+G18*'Fane 15. Nøgletal'!C22</f>
        <v>512688.41880355537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2" t="s">
        <v>70</v>
      </c>
      <c r="C22" s="133"/>
      <c r="D22" s="133"/>
      <c r="E22" s="133"/>
      <c r="F22" s="133"/>
      <c r="G22" s="141"/>
      <c r="H22" s="134"/>
      <c r="I22" s="1"/>
    </row>
    <row r="23" spans="1:9" x14ac:dyDescent="0.25">
      <c r="A23" s="1"/>
      <c r="B23" s="142" t="s">
        <v>71</v>
      </c>
      <c r="C23" s="143"/>
      <c r="D23" s="143"/>
      <c r="E23" s="143"/>
      <c r="F23" s="144"/>
      <c r="G23" s="76">
        <f>(G17+G18-G19)*(1+'Fane 15. Nøgletal'!C12)</f>
        <v>29297315.286391295</v>
      </c>
      <c r="H23" s="14" t="s">
        <v>3</v>
      </c>
      <c r="I23" s="1"/>
    </row>
    <row r="24" spans="1:9" x14ac:dyDescent="0.25">
      <c r="A24" s="1"/>
      <c r="B24" s="145" t="s">
        <v>72</v>
      </c>
      <c r="C24" s="146"/>
      <c r="D24" s="146"/>
      <c r="E24" s="146"/>
      <c r="F24" s="147"/>
      <c r="G24" s="76">
        <v>354573.51991178049</v>
      </c>
      <c r="H24" s="14" t="s">
        <v>3</v>
      </c>
      <c r="I24" s="1"/>
    </row>
    <row r="25" spans="1:9" x14ac:dyDescent="0.25">
      <c r="A25" s="1"/>
      <c r="B25" s="142" t="s">
        <v>73</v>
      </c>
      <c r="C25" s="143"/>
      <c r="D25" s="143"/>
      <c r="E25" s="143"/>
      <c r="F25" s="144"/>
      <c r="G25" s="76">
        <f>(G23+G24)*'Fane 15. Nøgletal'!C23</f>
        <v>842113.64209900738</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2" t="s">
        <v>74</v>
      </c>
      <c r="C28" s="133"/>
      <c r="D28" s="133"/>
      <c r="E28" s="133"/>
      <c r="F28" s="133"/>
      <c r="G28" s="141"/>
      <c r="H28" s="134"/>
      <c r="I28" s="1"/>
    </row>
    <row r="29" spans="1:9" x14ac:dyDescent="0.25">
      <c r="A29" s="1"/>
      <c r="B29" s="142" t="s">
        <v>75</v>
      </c>
      <c r="C29" s="143"/>
      <c r="D29" s="143"/>
      <c r="E29" s="143"/>
      <c r="F29" s="144"/>
      <c r="G29" s="76">
        <f>(G23+G24-G25)*(1+'Fane 15. Nøgletal'!C12)</f>
        <v>29377327.73493889</v>
      </c>
      <c r="H29" s="14" t="s">
        <v>3</v>
      </c>
      <c r="I29" s="1"/>
    </row>
    <row r="30" spans="1:9" x14ac:dyDescent="0.25">
      <c r="A30" s="1"/>
      <c r="B30" s="142" t="s">
        <v>139</v>
      </c>
      <c r="C30" s="143"/>
      <c r="D30" s="143"/>
      <c r="E30" s="143"/>
      <c r="F30" s="144"/>
      <c r="G30" s="76">
        <v>123315.72293124</v>
      </c>
      <c r="H30" s="14" t="s">
        <v>3</v>
      </c>
      <c r="I30" s="1"/>
    </row>
    <row r="31" spans="1:9" x14ac:dyDescent="0.25">
      <c r="A31" s="1"/>
      <c r="B31" s="142" t="s">
        <v>76</v>
      </c>
      <c r="C31" s="143"/>
      <c r="D31" s="143"/>
      <c r="E31" s="143"/>
      <c r="F31" s="144"/>
      <c r="G31" s="76">
        <f>G29*'Fane 15. Nøgletal'!C23+G30*'Fane 15. Nøgletal'!C24</f>
        <v>837707.29005287366</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2" t="s">
        <v>165</v>
      </c>
      <c r="C34" s="133"/>
      <c r="D34" s="133"/>
      <c r="E34" s="133"/>
      <c r="F34" s="133"/>
      <c r="G34" s="141"/>
      <c r="H34" s="134"/>
      <c r="I34" s="1"/>
    </row>
    <row r="35" spans="1:9" x14ac:dyDescent="0.25">
      <c r="A35" s="1"/>
      <c r="B35" s="142" t="s">
        <v>78</v>
      </c>
      <c r="C35" s="143"/>
      <c r="D35" s="143"/>
      <c r="E35" s="143"/>
      <c r="F35" s="144"/>
      <c r="G35" s="76">
        <f>(G29+G30-G31)*(1+'Fane 15. Nøgletal'!C14)</f>
        <v>28757523.857171055</v>
      </c>
      <c r="H35" s="14" t="s">
        <v>3</v>
      </c>
      <c r="I35" s="1"/>
    </row>
    <row r="36" spans="1:9" x14ac:dyDescent="0.25">
      <c r="A36" s="1"/>
      <c r="B36" s="142" t="s">
        <v>167</v>
      </c>
      <c r="C36" s="143"/>
      <c r="D36" s="143"/>
      <c r="E36" s="143"/>
      <c r="F36" s="144"/>
      <c r="G36" s="76">
        <v>0</v>
      </c>
      <c r="H36" s="14" t="s">
        <v>3</v>
      </c>
      <c r="I36" s="1"/>
    </row>
    <row r="37" spans="1:9" x14ac:dyDescent="0.25">
      <c r="A37" s="1"/>
      <c r="B37" s="142" t="s">
        <v>166</v>
      </c>
      <c r="C37" s="143"/>
      <c r="D37" s="143"/>
      <c r="E37" s="143"/>
      <c r="F37" s="144"/>
      <c r="G37" s="76">
        <f>(G35+G36)*'Fane 15. Nøgletal'!C25</f>
        <v>425611.35308613162</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2" t="s">
        <v>221</v>
      </c>
      <c r="C40" s="133"/>
      <c r="D40" s="133"/>
      <c r="E40" s="133"/>
      <c r="F40" s="133"/>
      <c r="G40" s="141"/>
      <c r="H40" s="134"/>
      <c r="I40" s="1"/>
    </row>
    <row r="41" spans="1:9" x14ac:dyDescent="0.25">
      <c r="A41" s="1"/>
      <c r="B41" s="142" t="s">
        <v>77</v>
      </c>
      <c r="C41" s="143"/>
      <c r="D41" s="143"/>
      <c r="E41" s="143"/>
      <c r="F41" s="144"/>
      <c r="G41" s="76">
        <f>(G35+G36-G37)*(1+'Fane 15. Nøgletal'!C14)</f>
        <v>28425407.815348405</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65627.495160480001</v>
      </c>
      <c r="H42" s="14" t="s">
        <v>3</v>
      </c>
      <c r="I42" s="1"/>
    </row>
    <row r="43" spans="1:9" x14ac:dyDescent="0.25">
      <c r="A43" s="1"/>
      <c r="B43" s="142" t="s">
        <v>168</v>
      </c>
      <c r="C43" s="143"/>
      <c r="D43" s="143"/>
      <c r="E43" s="143"/>
      <c r="F43" s="144"/>
      <c r="G43" s="76">
        <f>(G41)*'Fane 15. Nøgletal'!C25+G42*'Fane 15. Nøgletal'!C26</f>
        <v>420696.03566715639</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2" t="s">
        <v>242</v>
      </c>
      <c r="C52" s="133"/>
      <c r="D52" s="133"/>
      <c r="E52" s="133"/>
      <c r="F52" s="133"/>
      <c r="G52" s="141"/>
      <c r="H52" s="134"/>
      <c r="I52" s="1"/>
    </row>
    <row r="53" spans="1:9" x14ac:dyDescent="0.25">
      <c r="A53" s="1"/>
      <c r="B53" s="142" t="s">
        <v>140</v>
      </c>
      <c r="C53" s="143"/>
      <c r="D53" s="143"/>
      <c r="E53" s="143"/>
      <c r="F53" s="144"/>
      <c r="G53" s="76">
        <f>(G41+G42-G43)*(1+'Fane 15. Nøgletal'!C15)</f>
        <v>29069643.353026096</v>
      </c>
      <c r="H53" s="14" t="s">
        <v>3</v>
      </c>
      <c r="I53" s="1"/>
    </row>
    <row r="54" spans="1:9" x14ac:dyDescent="0.25">
      <c r="A54" s="1"/>
      <c r="B54" s="142" t="s">
        <v>141</v>
      </c>
      <c r="C54" s="143"/>
      <c r="D54" s="143"/>
      <c r="E54" s="143"/>
      <c r="F54" s="144"/>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2" t="s">
        <v>153</v>
      </c>
      <c r="C57" s="133"/>
      <c r="D57" s="133"/>
      <c r="E57" s="133"/>
      <c r="F57" s="133"/>
      <c r="G57" s="141"/>
      <c r="H57" s="134"/>
      <c r="I57" s="1"/>
    </row>
    <row r="58" spans="1:9" x14ac:dyDescent="0.25">
      <c r="A58" s="1"/>
      <c r="B58" s="142" t="s">
        <v>173</v>
      </c>
      <c r="C58" s="143"/>
      <c r="D58" s="143"/>
      <c r="E58" s="143"/>
      <c r="F58" s="144"/>
      <c r="G58" s="76">
        <f>(G53-G54)*(1+'Fane 15. Nøgletal'!C15)</f>
        <v>30104522.656393826</v>
      </c>
      <c r="H58" s="14" t="s">
        <v>3</v>
      </c>
      <c r="I58" s="1"/>
    </row>
    <row r="59" spans="1:9" x14ac:dyDescent="0.25">
      <c r="A59" s="1"/>
      <c r="B59" s="142" t="s">
        <v>174</v>
      </c>
      <c r="C59" s="143"/>
      <c r="D59" s="143"/>
      <c r="E59" s="143"/>
      <c r="F59" s="144"/>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2" t="s">
        <v>196</v>
      </c>
      <c r="C62" s="133"/>
      <c r="D62" s="133"/>
      <c r="E62" s="133"/>
      <c r="F62" s="133"/>
      <c r="G62" s="141"/>
      <c r="H62" s="134"/>
      <c r="I62" s="1"/>
    </row>
    <row r="63" spans="1:9" x14ac:dyDescent="0.25">
      <c r="A63" s="1"/>
      <c r="B63" s="142" t="s">
        <v>197</v>
      </c>
      <c r="C63" s="143"/>
      <c r="D63" s="143"/>
      <c r="E63" s="143"/>
      <c r="F63" s="144"/>
      <c r="G63" s="76">
        <f>(G58-G59)*(1+'Fane 15. Nøgletal'!C15)</f>
        <v>31176243.662961449</v>
      </c>
      <c r="H63" s="14" t="s">
        <v>3</v>
      </c>
      <c r="I63" s="1"/>
    </row>
    <row r="64" spans="1:9" x14ac:dyDescent="0.25">
      <c r="A64" s="1"/>
      <c r="B64" s="142" t="s">
        <v>198</v>
      </c>
      <c r="C64" s="143"/>
      <c r="D64" s="143"/>
      <c r="E64" s="143"/>
      <c r="F64" s="144"/>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33XsFhLyYyghYAL7+qz8etxupVb6RY4QMaEyDXjsk41eNPvSd1cPgw6L214/9NaFrOGvMdSZGScYota7bfUi4w==" saltValue="r95pr7RuP+/UR5h4y4Wsh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4" t="s">
        <v>88</v>
      </c>
      <c r="C3" s="124"/>
      <c r="D3" s="124"/>
      <c r="E3" s="124"/>
      <c r="F3" s="124"/>
      <c r="G3" s="124"/>
      <c r="H3" s="1"/>
    </row>
    <row r="4" spans="1:8" ht="15" customHeight="1" x14ac:dyDescent="0.25">
      <c r="A4" s="1"/>
      <c r="B4" s="124"/>
      <c r="C4" s="124"/>
      <c r="D4" s="124"/>
      <c r="E4" s="124"/>
      <c r="F4" s="124"/>
      <c r="G4" s="12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2" t="s">
        <v>10</v>
      </c>
      <c r="C8" s="133"/>
      <c r="D8" s="133"/>
      <c r="E8" s="133"/>
      <c r="F8" s="133"/>
      <c r="G8" s="134"/>
      <c r="H8" s="1"/>
    </row>
    <row r="9" spans="1:8" x14ac:dyDescent="0.25">
      <c r="A9" s="1"/>
      <c r="B9" s="142" t="s">
        <v>154</v>
      </c>
      <c r="C9" s="143"/>
      <c r="D9" s="143"/>
      <c r="E9" s="143"/>
      <c r="F9" s="144"/>
      <c r="G9" s="35">
        <v>0</v>
      </c>
      <c r="H9" s="1"/>
    </row>
    <row r="10" spans="1:8" x14ac:dyDescent="0.25">
      <c r="A10" s="1"/>
      <c r="B10" s="32"/>
      <c r="C10" s="27"/>
      <c r="D10" s="27"/>
      <c r="E10" s="27"/>
      <c r="F10" s="27"/>
      <c r="G10" s="19"/>
      <c r="H10" s="1"/>
    </row>
    <row r="11" spans="1:8" ht="29.25" customHeight="1" x14ac:dyDescent="0.25">
      <c r="A11" s="1"/>
      <c r="B11" s="153" t="s">
        <v>236</v>
      </c>
      <c r="C11" s="154"/>
      <c r="D11" s="154"/>
      <c r="E11" s="154"/>
      <c r="F11" s="154"/>
      <c r="G11" s="155"/>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U+w0mIU5O79vo/t5CStVc7bAqQklqwxnfwQIAORDnzvk6QiuicH3/ZNoCD1Ff8MkiaOpA9RsB6szybwMQ8Afcg==" saltValue="wZQ0Ees1yWQ9sa/VxjrNI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2022-12-01T08:47:03Z</dcterms:modified>
</cp:coreProperties>
</file>