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Odsherred Vand AS (V145)\ØR2022\"/>
    </mc:Choice>
  </mc:AlternateContent>
  <bookViews>
    <workbookView xWindow="3105" yWindow="998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E10" i="2"/>
  <c r="E14" i="6"/>
  <c r="C11" i="12" l="1"/>
  <c r="C12" i="12" s="1"/>
  <c r="C13" i="7"/>
  <c r="C14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2" i="10" s="1"/>
  <c r="C13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2" i="10" s="1"/>
  <c r="E13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<sst xmlns="http://schemas.openxmlformats.org/spreadsheetml/2006/main" count="405" uniqueCount="153">
  <si>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</si>
  <si>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</si>
  <si>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</si>
  <si>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</si>
  <si>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</si>
  <si>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</si>
  <si>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</si>
  <si>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</si>
  <si>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</si>
  <si>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</si>
  <si>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</si>
  <si>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</si>
  <si>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</si>
  <si>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</si>
  <si>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</si>
  <si>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</si>
  <si>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</si>
  <si>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</si>
  <si>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</si>
  <si>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</si>
  <si>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</si>
  <si>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</si>
  <si>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</si>
  <si>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</si>
  <si>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</si>
  <si>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</si>
  <si>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</si>
  <si>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</si>
  <si>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</si>
  <si>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</si>
  <si>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</si>
  <si>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</si>
  <si>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</si>
  <si>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</si>
  <si>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</si>
  <si>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</si>
  <si>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</si>
  <si>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</si>
  <si>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</si>
  <si>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</si>
  <si>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</si>
  <si>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</si>
  <si>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</si>
  <si>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</si>
  <si>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</si>
  <si>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</si>
  <si>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</si>
  <si>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</si>
  <si>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</si>
  <si>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</si>
  <si>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</si>
  <si>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</si>
  <si>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</si>
  <si>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</si>
  <si>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</si>
  <si>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</si>
  <si>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</si>
  <si>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</si>
  <si>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</si>
  <si>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</si>
  <si>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</si>
  <si>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</si>
  <si>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</si>
  <si>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</si>
  <si>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</si>
  <si>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</si>
  <si>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</si>
  <si>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</si>
  <si>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</si>
  <si>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</si>
  <si>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</si>
  <si>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</si>
  <si>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</si>
  <si>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</si>
  <si>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</si>
  <si>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</si>
  <si>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</si>
  <si>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</si>
  <si>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</si>
  <si>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</si>
  <si>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</si>
  <si>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</si>
  <si>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</si>
  <si>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</si>
  <si>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</si>
  <si>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</si>
  <si>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</si>
  <si>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</si>
  <si>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</si>
  <si>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</si>
  <si>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</si>
  <si>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</si>
  <si>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</si>
  <si>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</si>
  <si>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</si>
  <si>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</si>
  <si>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</si>
  <si>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</si>
  <si>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</si>
  <si>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</si>
  <si>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</si>
  <si>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</si>
  <si>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</si>
  <si>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</si>
  <si>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</si>
  <si>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</si>
  <si>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</si>
  <si>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</si>
  <si>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</si>
  <si>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</si>
  <si>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</si>
  <si>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</si>
  <si>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</si>
  <si>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</si>
  <si>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</si>
  <si>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</si>
  <si>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</si>
  <si>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</si>
  <si>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</si>
  <si>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</si>
  <si>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</si>
  <si>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</si>
  <si>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</si>
  <si>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</si>
  <si>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</si>
  <si>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</si>
  <si>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</si>
  <si>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</si>
  <si>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</si>
  <si>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Nye stik, stophaner og anboringer</t>
  </si>
  <si>
    <t>Ingen tilknyttet virksomhed</t>
  </si>
  <si>
    <t>Ingen engangstillæg</t>
  </si>
  <si>
    <t>Afgift for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</si>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</sst>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6640625" style="2" customWidth="1"/>
    <col min="6" max="6" width="11.531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4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5">
      <c r="A8" s="1"/>
      <c r="B8" s="1"/>
      <c r="C8" s="4"/>
      <c r="D8" s="73" t="s">
        <v>94</v>
      </c>
      <c r="E8" s="73"/>
      <c r="F8" s="73"/>
      <c r="G8" s="73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2" t="s">
        <v>5</v>
      </c>
      <c r="E11" s="72"/>
      <c r="F11" s="72"/>
      <c r="G11" s="72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8" t="s">
        <v>87</v>
      </c>
      <c r="E13" s="69"/>
      <c r="F13" s="69"/>
      <c r="G13" s="70"/>
      <c r="H13" s="1"/>
      <c r="I13" s="1"/>
    </row>
    <row r="14" spans="1:9" x14ac:dyDescent="0.45">
      <c r="A14" s="1"/>
      <c r="B14" s="1"/>
      <c r="C14" s="6" t="s">
        <v>15</v>
      </c>
      <c r="D14" s="68" t="s">
        <v>37</v>
      </c>
      <c r="E14" s="69"/>
      <c r="F14" s="69"/>
      <c r="G14" s="70"/>
      <c r="H14" s="1"/>
      <c r="I14" s="1"/>
    </row>
    <row r="15" spans="1:9" x14ac:dyDescent="0.45">
      <c r="A15" s="1"/>
      <c r="B15" s="1"/>
      <c r="C15" s="6" t="s">
        <v>32</v>
      </c>
      <c r="D15" s="68" t="s">
        <v>63</v>
      </c>
      <c r="E15" s="69"/>
      <c r="F15" s="69"/>
      <c r="G15" s="70"/>
      <c r="H15" s="1"/>
      <c r="I15" s="1"/>
    </row>
    <row r="16" spans="1:9" x14ac:dyDescent="0.45">
      <c r="A16" s="1"/>
      <c r="B16" s="1"/>
      <c r="C16" s="6" t="s">
        <v>33</v>
      </c>
      <c r="D16" s="68" t="s">
        <v>95</v>
      </c>
      <c r="E16" s="69"/>
      <c r="F16" s="69"/>
      <c r="G16" s="70"/>
      <c r="H16" s="1"/>
      <c r="I16" s="1"/>
    </row>
    <row r="17" spans="1:9" x14ac:dyDescent="0.45">
      <c r="A17" s="1"/>
      <c r="B17" s="1"/>
      <c r="C17" s="6" t="s">
        <v>59</v>
      </c>
      <c r="D17" s="68" t="s">
        <v>96</v>
      </c>
      <c r="E17" s="69"/>
      <c r="F17" s="69"/>
      <c r="G17" s="70"/>
      <c r="H17" s="1"/>
      <c r="I17" s="1"/>
    </row>
    <row r="18" spans="1:9" x14ac:dyDescent="0.45">
      <c r="A18" s="1"/>
      <c r="B18" s="1"/>
      <c r="C18" s="6" t="s">
        <v>7</v>
      </c>
      <c r="D18" s="65" t="s">
        <v>12</v>
      </c>
      <c r="E18" s="66"/>
      <c r="F18" s="66"/>
      <c r="G18" s="67"/>
      <c r="H18" s="1"/>
      <c r="I18" s="1"/>
    </row>
    <row r="19" spans="1:9" x14ac:dyDescent="0.45">
      <c r="A19" s="1"/>
      <c r="B19" s="1"/>
      <c r="C19" s="6" t="s">
        <v>8</v>
      </c>
      <c r="D19" s="59" t="s">
        <v>97</v>
      </c>
      <c r="E19" s="60"/>
      <c r="F19" s="60"/>
      <c r="G19" s="61"/>
      <c r="H19" s="1"/>
      <c r="I19" s="1"/>
    </row>
    <row r="20" spans="1:9" x14ac:dyDescent="0.45">
      <c r="A20" s="1"/>
      <c r="B20" s="1"/>
      <c r="C20" s="6" t="s">
        <v>56</v>
      </c>
      <c r="D20" s="59" t="s">
        <v>34</v>
      </c>
      <c r="E20" s="60"/>
      <c r="F20" s="60"/>
      <c r="G20" s="61"/>
      <c r="H20" s="1"/>
      <c r="I20" s="1"/>
    </row>
    <row r="21" spans="1:9" x14ac:dyDescent="0.45">
      <c r="A21" s="1"/>
      <c r="B21" s="1"/>
      <c r="C21" s="6" t="s">
        <v>82</v>
      </c>
      <c r="D21" s="59" t="s">
        <v>41</v>
      </c>
      <c r="E21" s="60"/>
      <c r="F21" s="60"/>
      <c r="G21" s="61"/>
      <c r="H21" s="1"/>
      <c r="I21" s="1"/>
    </row>
    <row r="22" spans="1:9" x14ac:dyDescent="0.45">
      <c r="A22" s="1"/>
      <c r="B22" s="1"/>
      <c r="C22" s="6" t="s">
        <v>83</v>
      </c>
      <c r="D22" s="59" t="s">
        <v>42</v>
      </c>
      <c r="E22" s="60"/>
      <c r="F22" s="60"/>
      <c r="G22" s="61"/>
      <c r="H22" s="1"/>
      <c r="I22" s="1"/>
    </row>
    <row r="23" spans="1:9" x14ac:dyDescent="0.45">
      <c r="A23" s="1"/>
      <c r="B23" s="1"/>
      <c r="C23" s="6" t="s">
        <v>84</v>
      </c>
      <c r="D23" s="59" t="s">
        <v>64</v>
      </c>
      <c r="E23" s="60"/>
      <c r="F23" s="60"/>
      <c r="G23" s="61"/>
      <c r="H23" s="1"/>
      <c r="I23" s="1"/>
    </row>
    <row r="24" spans="1:9" x14ac:dyDescent="0.45">
      <c r="A24" s="1"/>
      <c r="B24" s="1"/>
      <c r="C24" s="6" t="s">
        <v>9</v>
      </c>
      <c r="D24" s="59" t="s">
        <v>35</v>
      </c>
      <c r="E24" s="60"/>
      <c r="F24" s="60"/>
      <c r="G24" s="61"/>
      <c r="H24" s="1"/>
      <c r="I24" s="1"/>
    </row>
    <row r="25" spans="1:9" x14ac:dyDescent="0.45">
      <c r="A25" s="1"/>
      <c r="B25" s="1"/>
      <c r="C25" s="6" t="s">
        <v>50</v>
      </c>
      <c r="D25" s="62" t="s">
        <v>57</v>
      </c>
      <c r="E25" s="63"/>
      <c r="F25" s="63"/>
      <c r="G25" s="64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XhqINrVOVzZ4KI6E1u0wzHW6rOwlYh5OtTcgxcLh4/8FBPi+EkGoo2Nv9yIhr1+UkGK4UZX94Mmxe6rn7n5lQ==" saltValue="PDYGZ3rqP3oeCSNz6S0phQ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89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8" t="s">
        <v>129</v>
      </c>
      <c r="C11" s="19">
        <v>0</v>
      </c>
      <c r="D11" s="12" t="s">
        <v>3</v>
      </c>
      <c r="E11" s="8">
        <v>10965</v>
      </c>
      <c r="F11" s="12" t="s">
        <v>3</v>
      </c>
      <c r="G11" s="1"/>
    </row>
    <row r="12" spans="1:7" x14ac:dyDescent="0.45">
      <c r="A12" s="1"/>
      <c r="B12" s="54" t="s">
        <v>69</v>
      </c>
      <c r="C12" s="10">
        <f>SUM(C10:C11)</f>
        <v>0</v>
      </c>
      <c r="D12" s="11" t="s">
        <v>3</v>
      </c>
      <c r="E12" s="10">
        <f>SUM(E10:E11)</f>
        <v>10965</v>
      </c>
      <c r="F12" s="11" t="s">
        <v>3</v>
      </c>
      <c r="G12" s="1"/>
    </row>
    <row r="13" spans="1:7" x14ac:dyDescent="0.45">
      <c r="A13" s="1"/>
      <c r="B13" s="54" t="s">
        <v>110</v>
      </c>
      <c r="C13" s="10">
        <f>C12*(1+'Fane 10. Nøgletal'!C14)</f>
        <v>0</v>
      </c>
      <c r="D13" s="11" t="s">
        <v>3</v>
      </c>
      <c r="E13" s="10">
        <f>E12*(1+'Fane 10. Nøgletal'!C14)</f>
        <v>11001.184500000001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X/drSg3i1NMuTSfiBvzSaEtum2N+d+AVBC7fL3OsTnNFfl4f6RDjAEoY8xPpUEYh59LfY5JlgPzg1gwbRBlY2g==" saltValue="phD9BWuxsLSl9qikbplMgA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90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51</v>
      </c>
      <c r="C8" s="90"/>
      <c r="D8" s="90"/>
      <c r="E8" s="90"/>
      <c r="F8" s="91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131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9" t="s">
        <v>52</v>
      </c>
      <c r="C15" s="90"/>
      <c r="D15" s="90"/>
      <c r="E15" s="90"/>
      <c r="F15" s="91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45">
      <c r="A17" s="1"/>
      <c r="B17" s="20" t="s">
        <v>131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9" t="s">
        <v>77</v>
      </c>
      <c r="C22" s="90"/>
      <c r="D22" s="90"/>
      <c r="E22" s="90"/>
      <c r="F22" s="91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45">
      <c r="A24" s="1"/>
      <c r="B24" s="20" t="s">
        <v>131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9" t="s">
        <v>112</v>
      </c>
      <c r="C29" s="90"/>
      <c r="D29" s="90"/>
      <c r="E29" s="90"/>
      <c r="F29" s="91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45">
      <c r="A31" s="1"/>
      <c r="B31" s="20" t="s">
        <v>131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Zx12J0U7nXKEx2WkdXu1Pq1owbwyD9wyRwYZ9y0QVuEJJbLCc/aHCyieNP6umr4BwI58YPSuc+EDXyfS1qExFw==" saltValue="w46+t7CjkKQAFZq7UEnYPg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46484375" style="2" customWidth="1"/>
    <col min="2" max="2" width="41.1328125" style="2" bestFit="1" customWidth="1"/>
    <col min="3" max="3" width="13.46484375" style="2" customWidth="1"/>
    <col min="4" max="4" width="3.33203125" style="2" customWidth="1"/>
    <col min="5" max="5" width="14.46484375" style="2" customWidth="1"/>
    <col min="6" max="6" width="3.332031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91</v>
      </c>
      <c r="C3" s="76"/>
      <c r="D3" s="76"/>
      <c r="E3" s="76"/>
      <c r="F3" s="76"/>
      <c r="G3" s="1"/>
    </row>
    <row r="4" spans="1:7" ht="25.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71</v>
      </c>
      <c r="C8" s="90"/>
      <c r="D8" s="90"/>
      <c r="E8" s="90"/>
      <c r="F8" s="91"/>
      <c r="G8" s="1"/>
    </row>
    <row r="9" spans="1:7" ht="15" customHeight="1" x14ac:dyDescent="0.45">
      <c r="A9" s="1"/>
      <c r="B9" s="52" t="s">
        <v>78</v>
      </c>
      <c r="C9" s="105" t="s">
        <v>11</v>
      </c>
      <c r="D9" s="106"/>
      <c r="E9" s="105" t="s">
        <v>28</v>
      </c>
      <c r="F9" s="106"/>
      <c r="G9" s="1"/>
    </row>
    <row r="10" spans="1:7" x14ac:dyDescent="0.45">
      <c r="A10" s="1"/>
      <c r="B10" s="20" t="s">
        <v>130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TeTH8ORchaT3eEIAWjR0NSbqnljMFrXRjRg74mDco759q5v7ZdK3GpxvxQTjWoTNgXJC19Z245xIhNjOCDerIA==" saltValue="+3tLtP25caaljw1lLYzj8w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46484375" style="2" customWidth="1"/>
    <col min="3" max="3" width="15.6640625" style="2" customWidth="1"/>
    <col min="4" max="4" width="3.33203125" style="2" customWidth="1"/>
    <col min="5" max="5" width="18.4648437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92</v>
      </c>
      <c r="C3" s="76"/>
      <c r="D3" s="76"/>
      <c r="E3" s="76"/>
      <c r="F3" s="76"/>
      <c r="G3" s="1"/>
    </row>
    <row r="4" spans="1:7" ht="25.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48</v>
      </c>
      <c r="C8" s="90"/>
      <c r="D8" s="90"/>
      <c r="E8" s="90"/>
      <c r="F8" s="91"/>
      <c r="G8" s="1"/>
    </row>
    <row r="9" spans="1:7" ht="15" customHeight="1" x14ac:dyDescent="0.4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45">
      <c r="A10" s="1"/>
      <c r="B10" s="20" t="s">
        <v>135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9" t="s">
        <v>49</v>
      </c>
      <c r="C14" s="90"/>
      <c r="D14" s="90"/>
      <c r="E14" s="90"/>
      <c r="F14" s="91"/>
      <c r="G14" s="1"/>
    </row>
    <row r="15" spans="1:7" x14ac:dyDescent="0.4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45">
      <c r="A16" s="1"/>
      <c r="B16" s="20" t="s">
        <v>135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9" t="s">
        <v>73</v>
      </c>
      <c r="C20" s="90"/>
      <c r="D20" s="90"/>
      <c r="E20" s="90"/>
      <c r="F20" s="91"/>
      <c r="G20" s="1"/>
    </row>
    <row r="21" spans="1:7" x14ac:dyDescent="0.4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45">
      <c r="A22" s="1"/>
      <c r="B22" s="20" t="s">
        <v>135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9" t="s">
        <v>116</v>
      </c>
      <c r="C26" s="90"/>
      <c r="D26" s="90"/>
      <c r="E26" s="90"/>
      <c r="F26" s="91"/>
      <c r="G26" s="1"/>
    </row>
    <row r="27" spans="1:7" x14ac:dyDescent="0.4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45">
      <c r="A28" s="1"/>
      <c r="B28" s="20" t="s">
        <v>135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JhDv4UG0+H97BKADHZjutUtnN53BXVpcrJQnHjFS5KHCxgBhUsX/NZG09GWGlsspIHFmKGnnDMEeKkP9VaIrrw==" saltValue="D7jnnIwYQ02GXiF2MEm08Q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33203125" style="2" customWidth="1"/>
    <col min="4" max="4" width="12.332031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6" t="s">
        <v>93</v>
      </c>
      <c r="C3" s="76"/>
      <c r="D3" s="1"/>
    </row>
    <row r="4" spans="1:4" ht="25.5" customHeight="1" x14ac:dyDescent="0.45">
      <c r="A4" s="1"/>
      <c r="B4" s="76"/>
      <c r="C4" s="7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4" t="s">
        <v>14</v>
      </c>
      <c r="C8" s="55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4"/>
      <c r="C15" s="55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4" t="s">
        <v>54</v>
      </c>
      <c r="C18" s="55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7"/>
      <c r="C20" s="108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uWq/EDv5GiBxnVsZru37vGGS2l6jzvF+e4Lu5fbNUM5UONxRCN8fveryy1rg6OU5474FhfJw7F+vZJ4IklhHLg==" saltValue="Lvn+LxlWwwguYgh7/11WQQ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531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33203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98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13</v>
      </c>
      <c r="C8" s="38"/>
      <c r="D8" s="38"/>
      <c r="E8" s="38"/>
      <c r="F8" s="38"/>
      <c r="G8" s="1"/>
    </row>
    <row r="9" spans="1:7" x14ac:dyDescent="0.45">
      <c r="A9" s="1"/>
      <c r="B9" s="44" t="s">
        <v>24</v>
      </c>
      <c r="C9" s="44"/>
      <c r="D9" s="44"/>
      <c r="E9" s="7">
        <f>'Fane 3. Omkostninger i ØR2021'!E16</f>
        <v>8527745.797667766</v>
      </c>
      <c r="F9" s="44" t="s">
        <v>3</v>
      </c>
      <c r="G9" s="1"/>
    </row>
    <row r="10" spans="1:7" ht="17.100000000000001" customHeight="1" x14ac:dyDescent="0.45">
      <c r="A10" s="1"/>
      <c r="B10" s="33" t="s">
        <v>121</v>
      </c>
      <c r="C10" s="44"/>
      <c r="D10" s="44"/>
      <c r="E10" s="7">
        <f>'Fane 3. Omkostninger i ØR2021'!E13*(1-'Fane 10. Nøgletal'!C19)*(1+'Fane 10. Nøgletal'!C13)</f>
        <v>0</v>
      </c>
      <c r="F10" s="44" t="s">
        <v>3</v>
      </c>
      <c r="G10" s="1"/>
    </row>
    <row r="11" spans="1:7" ht="17.100000000000001" customHeight="1" x14ac:dyDescent="0.45">
      <c r="A11" s="1"/>
      <c r="B11" s="29" t="s">
        <v>60</v>
      </c>
      <c r="C11" s="44"/>
      <c r="D11" s="44"/>
      <c r="E11" s="7">
        <f>'Fane 7.1. Varige tillæg'!C13+'Fane 7.1. Varige tillæg'!E13</f>
        <v>11001.184500000001</v>
      </c>
      <c r="F11" s="44" t="s">
        <v>3</v>
      </c>
      <c r="G11" s="1"/>
    </row>
    <row r="12" spans="1:7" ht="17.100000000000001" customHeight="1" x14ac:dyDescent="0.45">
      <c r="A12" s="1"/>
      <c r="B12" s="29" t="s">
        <v>62</v>
      </c>
      <c r="C12" s="44"/>
      <c r="D12" s="44"/>
      <c r="E12" s="8">
        <f>-('Fane 9. Bortfald'!C12+'Fane 9. Bortfald'!E12)</f>
        <v>0</v>
      </c>
      <c r="F12" s="44" t="s">
        <v>3</v>
      </c>
      <c r="G12" s="1"/>
    </row>
    <row r="13" spans="1:7" ht="17.100000000000001" customHeight="1" x14ac:dyDescent="0.45">
      <c r="A13" s="1"/>
      <c r="B13" s="29" t="s">
        <v>65</v>
      </c>
      <c r="C13" s="44"/>
      <c r="D13" s="44"/>
      <c r="E13" s="8">
        <f>'Fane 8. Tilknyttet virksomhed'!C12+'Fane 8. Tilknyttet virksomhed'!E12</f>
        <v>0</v>
      </c>
      <c r="F13" s="44" t="s">
        <v>3</v>
      </c>
      <c r="G13" s="1"/>
    </row>
    <row r="14" spans="1:7" ht="17.100000000000001" customHeight="1" x14ac:dyDescent="0.45">
      <c r="A14" s="1"/>
      <c r="B14" s="29" t="s">
        <v>18</v>
      </c>
      <c r="C14" s="44"/>
      <c r="D14" s="44"/>
      <c r="E14" s="8">
        <f>E9*'Fane 10. Nøgletal'!C13+SUM(E11:E13)*'Fane 10. Nøgletal'!C14</f>
        <v>104074.80264039675</v>
      </c>
      <c r="F14" s="44" t="s">
        <v>3</v>
      </c>
      <c r="G14" s="1"/>
    </row>
    <row r="15" spans="1:7" ht="17.100000000000001" customHeight="1" x14ac:dyDescent="0.45">
      <c r="A15" s="1"/>
      <c r="B15" s="29" t="s">
        <v>54</v>
      </c>
      <c r="C15" s="44"/>
      <c r="D15" s="44"/>
      <c r="E15" s="8">
        <f>-SUM(E9,E11:E14)*'Fane 10. Nøgletal'!C19</f>
        <v>-146927.97034173878</v>
      </c>
      <c r="F15" s="44" t="s">
        <v>3</v>
      </c>
      <c r="G15" s="1"/>
    </row>
    <row r="16" spans="1:7" ht="15" customHeight="1" x14ac:dyDescent="0.45">
      <c r="A16" s="1"/>
      <c r="B16" s="51" t="s">
        <v>20</v>
      </c>
      <c r="C16" s="37"/>
      <c r="D16" s="37"/>
      <c r="E16" s="9">
        <f>SUM(E9,E11:E15)</f>
        <v>8495893.8144664243</v>
      </c>
      <c r="F16" s="39" t="s">
        <v>3</v>
      </c>
      <c r="G16" s="1"/>
    </row>
    <row r="17" spans="1:7" ht="15" customHeight="1" x14ac:dyDescent="0.45">
      <c r="A17" s="1"/>
      <c r="B17" s="38" t="s">
        <v>12</v>
      </c>
      <c r="C17" s="38"/>
      <c r="D17" s="38"/>
      <c r="E17" s="38"/>
      <c r="F17" s="38"/>
      <c r="G17" s="1"/>
    </row>
    <row r="18" spans="1:7" ht="15" customHeight="1" x14ac:dyDescent="0.45">
      <c r="A18" s="1"/>
      <c r="B18" s="39" t="s">
        <v>12</v>
      </c>
      <c r="C18" s="39"/>
      <c r="D18" s="39"/>
      <c r="E18" s="9">
        <f>'Fane 4. Ikke-påvirkelige omk.'!C14</f>
        <v>2232538.1342696403</v>
      </c>
      <c r="F18" s="39" t="s">
        <v>3</v>
      </c>
      <c r="G18" s="1"/>
    </row>
    <row r="19" spans="1:7" ht="15" customHeight="1" x14ac:dyDescent="0.45">
      <c r="A19" s="1"/>
      <c r="B19" s="38" t="s">
        <v>42</v>
      </c>
      <c r="C19" s="38"/>
      <c r="D19" s="38"/>
      <c r="E19" s="38"/>
      <c r="F19" s="38"/>
      <c r="G19" s="1"/>
    </row>
    <row r="20" spans="1:7" ht="15" customHeight="1" x14ac:dyDescent="0.45">
      <c r="A20" s="1"/>
      <c r="B20" s="29" t="s">
        <v>39</v>
      </c>
      <c r="C20" s="44"/>
      <c r="D20" s="44"/>
      <c r="E20" s="8">
        <f>'Fane 7.2. Engangstillæg'!C13</f>
        <v>0</v>
      </c>
      <c r="F20" s="44" t="s">
        <v>3</v>
      </c>
      <c r="G20" s="1"/>
    </row>
    <row r="21" spans="1:7" x14ac:dyDescent="0.45">
      <c r="A21" s="1"/>
      <c r="B21" s="29" t="s">
        <v>40</v>
      </c>
      <c r="C21" s="44"/>
      <c r="D21" s="44"/>
      <c r="E21" s="8">
        <f>'Fane 7.2. Engangstillæg'!E13</f>
        <v>0</v>
      </c>
      <c r="F21" s="44" t="s">
        <v>3</v>
      </c>
      <c r="G21" s="1"/>
    </row>
    <row r="22" spans="1:7" ht="15" customHeight="1" x14ac:dyDescent="0.45">
      <c r="A22" s="1"/>
      <c r="B22" s="51" t="s">
        <v>43</v>
      </c>
      <c r="C22" s="37"/>
      <c r="D22" s="37"/>
      <c r="E22" s="9">
        <f>SUM(E20:E21)</f>
        <v>0</v>
      </c>
      <c r="F22" s="39" t="s">
        <v>3</v>
      </c>
      <c r="G22" s="1"/>
    </row>
    <row r="23" spans="1:7" x14ac:dyDescent="0.45">
      <c r="A23" s="1"/>
      <c r="B23" s="38" t="s">
        <v>85</v>
      </c>
      <c r="C23" s="38"/>
      <c r="D23" s="38"/>
      <c r="E23" s="38"/>
      <c r="F23" s="38"/>
      <c r="G23" s="1"/>
    </row>
    <row r="24" spans="1:7" x14ac:dyDescent="0.45">
      <c r="A24" s="1"/>
      <c r="B24" s="51" t="s">
        <v>31</v>
      </c>
      <c r="C24" s="37"/>
      <c r="D24" s="37"/>
      <c r="E24" s="9">
        <v>426443.75911879243</v>
      </c>
      <c r="F24" s="39" t="s">
        <v>3</v>
      </c>
      <c r="G24" s="1"/>
    </row>
    <row r="25" spans="1:7" x14ac:dyDescent="0.45">
      <c r="A25" s="1"/>
      <c r="B25" s="51" t="s">
        <v>86</v>
      </c>
      <c r="C25" s="37"/>
      <c r="D25" s="37"/>
      <c r="E25" s="9">
        <f>'Fane 5. Kontrol af ØR2020'!E29</f>
        <v>0</v>
      </c>
      <c r="F25" s="39" t="s">
        <v>3</v>
      </c>
      <c r="G25" s="1"/>
    </row>
    <row r="26" spans="1:7" x14ac:dyDescent="0.45">
      <c r="A26" s="1"/>
      <c r="B26" s="38" t="s">
        <v>149</v>
      </c>
      <c r="C26" s="38"/>
      <c r="D26" s="38"/>
      <c r="E26" s="38"/>
      <c r="F26" s="38"/>
      <c r="G26" s="1"/>
    </row>
    <row r="27" spans="1:7" x14ac:dyDescent="0.45">
      <c r="A27" s="1"/>
      <c r="B27" s="39" t="s">
        <v>150</v>
      </c>
      <c r="C27" s="39"/>
      <c r="D27" s="39"/>
      <c r="E27" s="9">
        <v>0</v>
      </c>
      <c r="F27" s="39" t="s">
        <v>3</v>
      </c>
      <c r="G27" s="1"/>
    </row>
    <row r="28" spans="1:7" x14ac:dyDescent="0.45">
      <c r="A28" s="1"/>
      <c r="B28" s="38" t="s">
        <v>26</v>
      </c>
      <c r="C28" s="38"/>
      <c r="D28" s="38"/>
      <c r="E28" s="10">
        <f>SUM(E16,E18,E22,E24,E25,E27)</f>
        <v>11154875.707854856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375IWgp5uz2JGNYjhLcKsK6zO/oOxsXm6YYMApHeH6cDutTe2qCgg5LPcvZa2B04b/J6LMaMckuUJSFPqO87NA==" saltValue="Lb7aO3xr0Pxa7tGBSZVw6w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3125" style="2" customWidth="1"/>
    <col min="3" max="3" width="0" style="2" hidden="1" customWidth="1"/>
    <col min="4" max="4" width="27" style="2" hidden="1" customWidth="1"/>
    <col min="5" max="5" width="10.33203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99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101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13</v>
      </c>
      <c r="C8" s="38"/>
      <c r="D8" s="38"/>
      <c r="E8" s="38"/>
      <c r="F8" s="38"/>
      <c r="G8" s="1"/>
    </row>
    <row r="9" spans="1:7" ht="15" customHeight="1" x14ac:dyDescent="0.45">
      <c r="A9" s="1"/>
      <c r="B9" s="44" t="s">
        <v>66</v>
      </c>
      <c r="C9" s="44"/>
      <c r="D9" s="44"/>
      <c r="E9" s="7">
        <f>'Fane 2.1. Økonomisk ramme 2022'!E16</f>
        <v>8495893.8144664243</v>
      </c>
      <c r="F9" s="44" t="s">
        <v>3</v>
      </c>
      <c r="G9" s="1"/>
    </row>
    <row r="10" spans="1:7" ht="15" customHeight="1" x14ac:dyDescent="0.45">
      <c r="A10" s="1"/>
      <c r="B10" s="29" t="s">
        <v>62</v>
      </c>
      <c r="C10" s="44"/>
      <c r="D10" s="44"/>
      <c r="E10" s="7">
        <f>-('Fane 9. Bortfald'!C18+'Fane 9. Bortfald'!E18)</f>
        <v>0</v>
      </c>
      <c r="F10" s="44" t="s">
        <v>3</v>
      </c>
      <c r="G10" s="1"/>
    </row>
    <row r="11" spans="1:7" ht="15" customHeight="1" x14ac:dyDescent="0.45">
      <c r="A11" s="1"/>
      <c r="B11" s="36" t="s">
        <v>18</v>
      </c>
      <c r="C11" s="44"/>
      <c r="D11" s="44"/>
      <c r="E11" s="8">
        <f>SUM(E9:E10)*'Fane 10. Nøgletal'!C14</f>
        <v>28036.4495877392</v>
      </c>
      <c r="F11" s="44" t="s">
        <v>3</v>
      </c>
      <c r="G11" s="1"/>
    </row>
    <row r="12" spans="1:7" ht="15" customHeight="1" x14ac:dyDescent="0.45">
      <c r="A12" s="1"/>
      <c r="B12" s="36" t="s">
        <v>54</v>
      </c>
      <c r="C12" s="44"/>
      <c r="D12" s="44"/>
      <c r="E12" s="8">
        <f>-SUM(E9:E11)*'Fane 10. Nøgletal'!C19</f>
        <v>-144906.81448892079</v>
      </c>
      <c r="F12" s="44" t="s">
        <v>3</v>
      </c>
      <c r="G12" s="1"/>
    </row>
    <row r="13" spans="1:7" ht="15" customHeight="1" x14ac:dyDescent="0.45">
      <c r="A13" s="1"/>
      <c r="B13" s="37" t="s">
        <v>20</v>
      </c>
      <c r="C13" s="37"/>
      <c r="D13" s="37"/>
      <c r="E13" s="9">
        <f>SUM(E9:E12)</f>
        <v>8379023.4495652439</v>
      </c>
      <c r="F13" s="39" t="s">
        <v>3</v>
      </c>
      <c r="G13" s="1"/>
    </row>
    <row r="14" spans="1:7" x14ac:dyDescent="0.45">
      <c r="A14" s="1"/>
      <c r="B14" s="38" t="s">
        <v>12</v>
      </c>
      <c r="C14" s="38"/>
      <c r="D14" s="38"/>
      <c r="E14" s="38"/>
      <c r="F14" s="38"/>
      <c r="G14" s="1"/>
    </row>
    <row r="15" spans="1:7" ht="15" customHeight="1" x14ac:dyDescent="0.45">
      <c r="A15" s="1"/>
      <c r="B15" s="39" t="s">
        <v>12</v>
      </c>
      <c r="C15" s="39"/>
      <c r="D15" s="39"/>
      <c r="E15" s="9">
        <f>'Fane 4. Ikke-påvirkelige omk.'!C14*(1+'Fane 10. Nøgletal'!C14)</f>
        <v>2239905.5101127303</v>
      </c>
      <c r="F15" s="39" t="s">
        <v>3</v>
      </c>
      <c r="G15" s="1"/>
    </row>
    <row r="16" spans="1:7" ht="15" customHeight="1" x14ac:dyDescent="0.45">
      <c r="A16" s="1"/>
      <c r="B16" s="38" t="s">
        <v>42</v>
      </c>
      <c r="C16" s="38"/>
      <c r="D16" s="38"/>
      <c r="E16" s="38"/>
      <c r="F16" s="38"/>
      <c r="G16" s="1"/>
    </row>
    <row r="17" spans="1:7" ht="15" customHeight="1" x14ac:dyDescent="0.45">
      <c r="A17" s="1"/>
      <c r="B17" s="29" t="s">
        <v>39</v>
      </c>
      <c r="C17" s="44"/>
      <c r="D17" s="44"/>
      <c r="E17" s="8">
        <f>'Fane 7.2. Engangstillæg'!C20</f>
        <v>0</v>
      </c>
      <c r="F17" s="44" t="s">
        <v>3</v>
      </c>
      <c r="G17" s="1"/>
    </row>
    <row r="18" spans="1:7" ht="15" customHeight="1" x14ac:dyDescent="0.45">
      <c r="A18" s="1"/>
      <c r="B18" s="29" t="s">
        <v>40</v>
      </c>
      <c r="C18" s="44"/>
      <c r="D18" s="44"/>
      <c r="E18" s="8">
        <f>'Fane 7.2. Engangstillæg'!E20</f>
        <v>0</v>
      </c>
      <c r="F18" s="44" t="s">
        <v>3</v>
      </c>
      <c r="G18" s="1"/>
    </row>
    <row r="19" spans="1:7" ht="15" customHeight="1" x14ac:dyDescent="0.45">
      <c r="A19" s="1"/>
      <c r="B19" s="51" t="s">
        <v>43</v>
      </c>
      <c r="C19" s="37"/>
      <c r="D19" s="37"/>
      <c r="E19" s="9">
        <f>SUM(E17:E18)</f>
        <v>0</v>
      </c>
      <c r="F19" s="39" t="s">
        <v>3</v>
      </c>
      <c r="G19" s="1"/>
    </row>
    <row r="20" spans="1:7" x14ac:dyDescent="0.45">
      <c r="A20" s="1"/>
      <c r="B20" s="38" t="s">
        <v>85</v>
      </c>
      <c r="C20" s="38"/>
      <c r="D20" s="38"/>
      <c r="E20" s="38"/>
      <c r="F20" s="38"/>
      <c r="G20" s="1"/>
    </row>
    <row r="21" spans="1:7" x14ac:dyDescent="0.45">
      <c r="A21" s="1"/>
      <c r="B21" s="39" t="s">
        <v>151</v>
      </c>
      <c r="C21" s="39"/>
      <c r="D21" s="39"/>
      <c r="E21" s="9">
        <f>'Fane 5. Kontrol af ØR2020'!E35</f>
        <v>-138629.35122869536</v>
      </c>
      <c r="F21" s="39" t="s">
        <v>3</v>
      </c>
      <c r="G21" s="1"/>
    </row>
    <row r="22" spans="1:7" x14ac:dyDescent="0.45">
      <c r="A22" s="1"/>
      <c r="B22" s="38" t="s">
        <v>47</v>
      </c>
      <c r="C22" s="38"/>
      <c r="D22" s="38"/>
      <c r="E22" s="10">
        <f>SUM(E13,E15,E19,E21)</f>
        <v>10480299.608449278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d+1U0vUcN0FNJBhFTEFXKdX4foAcPkXJ/891b6GzigB351aiNWOHBb8KyZzbQuQY3vh/w2vno2T4Rp0ZfzbShw==" saltValue="UMAmH+TPNkgIHvL/tsnxv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33203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100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21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45">
      <c r="A8" s="1"/>
      <c r="B8" s="44" t="s">
        <v>67</v>
      </c>
      <c r="C8" s="44"/>
      <c r="D8" s="44"/>
      <c r="E8" s="7">
        <f>'Fane 2.2. Økonomisk ramme 2023'!E13</f>
        <v>8379023.4495652439</v>
      </c>
      <c r="F8" s="44" t="s">
        <v>3</v>
      </c>
      <c r="G8" s="1"/>
    </row>
    <row r="9" spans="1:7" ht="15" customHeight="1" x14ac:dyDescent="0.45">
      <c r="A9" s="1"/>
      <c r="B9" s="44" t="s">
        <v>62</v>
      </c>
      <c r="C9" s="44"/>
      <c r="D9" s="44"/>
      <c r="E9" s="7">
        <f>-('Fane 9. Bortfald'!C24+'Fane 9. Bortfald'!E24)</f>
        <v>0</v>
      </c>
      <c r="F9" s="44" t="s">
        <v>3</v>
      </c>
      <c r="G9" s="1"/>
    </row>
    <row r="10" spans="1:7" ht="15" customHeight="1" x14ac:dyDescent="0.45">
      <c r="A10" s="1"/>
      <c r="B10" s="36" t="s">
        <v>18</v>
      </c>
      <c r="C10" s="44"/>
      <c r="D10" s="44"/>
      <c r="E10" s="8">
        <f>SUM(E8:E9)*'Fane 10. Nøgletal'!C14</f>
        <v>27650.777383565306</v>
      </c>
      <c r="F10" s="44" t="s">
        <v>3</v>
      </c>
      <c r="G10" s="1"/>
    </row>
    <row r="11" spans="1:7" ht="15" customHeight="1" x14ac:dyDescent="0.45">
      <c r="A11" s="1"/>
      <c r="B11" s="36" t="s">
        <v>54</v>
      </c>
      <c r="C11" s="44"/>
      <c r="D11" s="44"/>
      <c r="E11" s="8">
        <f>-SUM(E8:E10)*'Fane 10. Nøgletal'!C19</f>
        <v>-142913.46185812977</v>
      </c>
      <c r="F11" s="44" t="s">
        <v>3</v>
      </c>
      <c r="G11" s="1"/>
    </row>
    <row r="12" spans="1:7" x14ac:dyDescent="0.45">
      <c r="A12" s="1"/>
      <c r="B12" s="37" t="s">
        <v>20</v>
      </c>
      <c r="C12" s="37"/>
      <c r="D12" s="37"/>
      <c r="E12" s="9">
        <f>SUM(E8:E11)</f>
        <v>8263760.7650906788</v>
      </c>
      <c r="F12" s="39" t="s">
        <v>3</v>
      </c>
      <c r="G12" s="1"/>
    </row>
    <row r="13" spans="1:7" x14ac:dyDescent="0.4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45">
      <c r="A14" s="1"/>
      <c r="B14" s="39" t="s">
        <v>12</v>
      </c>
      <c r="C14" s="39"/>
      <c r="D14" s="39"/>
      <c r="E14" s="9">
        <f>'Fane 4. Ikke-påvirkelige omk.'!C14*(1+'Fane 10. Nøgletal'!C14)^2</f>
        <v>2247297.1982961027</v>
      </c>
      <c r="F14" s="39" t="s">
        <v>3</v>
      </c>
      <c r="G14" s="1"/>
    </row>
    <row r="15" spans="1:7" ht="15" customHeight="1" x14ac:dyDescent="0.45">
      <c r="A15" s="1"/>
      <c r="B15" s="38" t="s">
        <v>42</v>
      </c>
      <c r="C15" s="38"/>
      <c r="D15" s="38"/>
      <c r="E15" s="38"/>
      <c r="F15" s="38"/>
      <c r="G15" s="1"/>
    </row>
    <row r="16" spans="1:7" ht="15" customHeight="1" x14ac:dyDescent="0.45">
      <c r="A16" s="1"/>
      <c r="B16" s="29" t="s">
        <v>39</v>
      </c>
      <c r="C16" s="44"/>
      <c r="D16" s="44"/>
      <c r="E16" s="8">
        <f>'Fane 7.2. Engangstillæg'!C27</f>
        <v>0</v>
      </c>
      <c r="F16" s="44" t="s">
        <v>3</v>
      </c>
      <c r="G16" s="1"/>
    </row>
    <row r="17" spans="1:7" ht="15" customHeight="1" x14ac:dyDescent="0.45">
      <c r="A17" s="1"/>
      <c r="B17" s="29" t="s">
        <v>40</v>
      </c>
      <c r="C17" s="44"/>
      <c r="D17" s="44"/>
      <c r="E17" s="8">
        <f>'Fane 7.2. Engangstillæg'!E27</f>
        <v>0</v>
      </c>
      <c r="F17" s="44" t="s">
        <v>3</v>
      </c>
      <c r="G17" s="1"/>
    </row>
    <row r="18" spans="1:7" ht="15" customHeight="1" x14ac:dyDescent="0.45">
      <c r="A18" s="1"/>
      <c r="B18" s="51" t="s">
        <v>43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45">
      <c r="A19" s="1"/>
      <c r="B19" s="38" t="s">
        <v>85</v>
      </c>
      <c r="C19" s="38"/>
      <c r="D19" s="38"/>
      <c r="E19" s="38"/>
      <c r="F19" s="38"/>
      <c r="G19" s="1"/>
    </row>
    <row r="20" spans="1:7" ht="15" customHeight="1" x14ac:dyDescent="0.45">
      <c r="A20" s="1"/>
      <c r="B20" s="39" t="s">
        <v>86</v>
      </c>
      <c r="C20" s="39"/>
      <c r="D20" s="39"/>
      <c r="E20" s="9">
        <f>'Fane 5. Kontrol af ØR2020'!E35</f>
        <v>-138629.35122869536</v>
      </c>
      <c r="F20" s="39" t="s">
        <v>3</v>
      </c>
      <c r="G20" s="1"/>
    </row>
    <row r="21" spans="1:7" x14ac:dyDescent="0.45">
      <c r="A21" s="1"/>
      <c r="B21" s="38" t="s">
        <v>68</v>
      </c>
      <c r="C21" s="38"/>
      <c r="D21" s="38"/>
      <c r="E21" s="10">
        <f>SUM(E12,E14,E18,E20)</f>
        <v>10372428.612158086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by4UnqUk4XJEH+DzvB5X46VukxBABT+BMyUrilGyNMJzLgP4PghhIFYKPUnBXPVeEp0Y/h4yJLJ2iQXpscj/1w==" saltValue="+ub1HbFqABKdqG19CZSuy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33203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102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21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45">
      <c r="A8" s="1"/>
      <c r="B8" s="44" t="s">
        <v>103</v>
      </c>
      <c r="C8" s="44"/>
      <c r="D8" s="44"/>
      <c r="E8" s="7">
        <f>'Fane 2.3. Økonomisk ramme 2024'!E12</f>
        <v>8263760.7650906788</v>
      </c>
      <c r="F8" s="44" t="s">
        <v>3</v>
      </c>
      <c r="G8" s="1"/>
    </row>
    <row r="9" spans="1:7" ht="15" customHeight="1" x14ac:dyDescent="0.45">
      <c r="A9" s="1"/>
      <c r="B9" s="44" t="s">
        <v>62</v>
      </c>
      <c r="C9" s="44"/>
      <c r="D9" s="44"/>
      <c r="E9" s="7">
        <f>-('Fane 9. Bortfald'!C30+'Fane 9. Bortfald'!E30)</f>
        <v>0</v>
      </c>
      <c r="F9" s="44" t="s">
        <v>3</v>
      </c>
      <c r="G9" s="1"/>
    </row>
    <row r="10" spans="1:7" ht="15" customHeight="1" x14ac:dyDescent="0.45">
      <c r="A10" s="1"/>
      <c r="B10" s="36" t="s">
        <v>18</v>
      </c>
      <c r="C10" s="44"/>
      <c r="D10" s="44"/>
      <c r="E10" s="8">
        <f>SUM(E8:E9)*'Fane 10. Nøgletal'!C14</f>
        <v>27270.410524799241</v>
      </c>
      <c r="F10" s="44" t="s">
        <v>3</v>
      </c>
      <c r="G10" s="1"/>
    </row>
    <row r="11" spans="1:7" ht="15" customHeight="1" x14ac:dyDescent="0.45">
      <c r="A11" s="1"/>
      <c r="B11" s="36" t="s">
        <v>54</v>
      </c>
      <c r="C11" s="44"/>
      <c r="D11" s="44"/>
      <c r="E11" s="8">
        <f>-SUM(E8:E10)*'Fane 10. Nøgletal'!C19</f>
        <v>-140947.52998546313</v>
      </c>
      <c r="F11" s="44" t="s">
        <v>3</v>
      </c>
      <c r="G11" s="1"/>
    </row>
    <row r="12" spans="1:7" x14ac:dyDescent="0.45">
      <c r="A12" s="1"/>
      <c r="B12" s="37" t="s">
        <v>20</v>
      </c>
      <c r="C12" s="37"/>
      <c r="D12" s="37"/>
      <c r="E12" s="9">
        <f>SUM(E8:E11)</f>
        <v>8150083.6456300151</v>
      </c>
      <c r="F12" s="39" t="s">
        <v>3</v>
      </c>
      <c r="G12" s="1"/>
    </row>
    <row r="13" spans="1:7" x14ac:dyDescent="0.4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45">
      <c r="A14" s="1"/>
      <c r="B14" s="39" t="s">
        <v>12</v>
      </c>
      <c r="C14" s="39"/>
      <c r="D14" s="39"/>
      <c r="E14" s="9">
        <f>'Fane 4. Ikke-påvirkelige omk.'!C14*(1+'Fane 10. Nøgletal'!C14)^3</f>
        <v>2254713.2790504796</v>
      </c>
      <c r="F14" s="39" t="s">
        <v>3</v>
      </c>
      <c r="G14" s="1"/>
    </row>
    <row r="15" spans="1:7" ht="15" customHeight="1" x14ac:dyDescent="0.45">
      <c r="A15" s="1"/>
      <c r="B15" s="38" t="s">
        <v>42</v>
      </c>
      <c r="C15" s="38"/>
      <c r="D15" s="38"/>
      <c r="E15" s="38"/>
      <c r="F15" s="38"/>
      <c r="G15" s="1"/>
    </row>
    <row r="16" spans="1:7" ht="15" customHeight="1" x14ac:dyDescent="0.45">
      <c r="A16" s="1"/>
      <c r="B16" s="29" t="s">
        <v>39</v>
      </c>
      <c r="C16" s="44"/>
      <c r="D16" s="44"/>
      <c r="E16" s="8">
        <f>'Fane 7.2. Engangstillæg'!C34</f>
        <v>0</v>
      </c>
      <c r="F16" s="44" t="s">
        <v>3</v>
      </c>
      <c r="G16" s="1"/>
    </row>
    <row r="17" spans="1:7" ht="15" customHeight="1" x14ac:dyDescent="0.45">
      <c r="A17" s="1"/>
      <c r="B17" s="29" t="s">
        <v>40</v>
      </c>
      <c r="C17" s="44"/>
      <c r="D17" s="44"/>
      <c r="E17" s="8">
        <f>'Fane 7.2. Engangstillæg'!E34</f>
        <v>0</v>
      </c>
      <c r="F17" s="44" t="s">
        <v>3</v>
      </c>
      <c r="G17" s="1"/>
    </row>
    <row r="18" spans="1:7" ht="15" customHeight="1" x14ac:dyDescent="0.45">
      <c r="A18" s="1"/>
      <c r="B18" s="51" t="s">
        <v>43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45">
      <c r="A19" s="1"/>
      <c r="B19" s="38" t="s">
        <v>85</v>
      </c>
      <c r="C19" s="38"/>
      <c r="D19" s="38"/>
      <c r="E19" s="38"/>
      <c r="F19" s="38"/>
      <c r="G19" s="1"/>
    </row>
    <row r="20" spans="1:7" ht="15" customHeight="1" x14ac:dyDescent="0.45">
      <c r="A20" s="1"/>
      <c r="B20" s="39" t="s">
        <v>86</v>
      </c>
      <c r="C20" s="39"/>
      <c r="D20" s="39"/>
      <c r="E20" s="9">
        <f>'Fane 5. Kontrol af ØR2020'!E35</f>
        <v>-138629.35122869536</v>
      </c>
      <c r="F20" s="39" t="s">
        <v>3</v>
      </c>
      <c r="G20" s="1"/>
    </row>
    <row r="21" spans="1:7" x14ac:dyDescent="0.45">
      <c r="A21" s="1"/>
      <c r="B21" s="38" t="s">
        <v>104</v>
      </c>
      <c r="C21" s="38"/>
      <c r="D21" s="38"/>
      <c r="E21" s="10">
        <f>SUM(E12,E14,E18,E20)</f>
        <v>10266167.573451798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GSUj8lj4yUsexhsdbOx0RwuZGs3mzAkI/e9yTmtdJcUy4mHWJ9nuPXRQC1f9FcgnX5mJcToiOxHBPyVjI41jzg==" saltValue="xsXs59yka/EOOIKft54vc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86328125" style="2" bestFit="1" customWidth="1"/>
    <col min="6" max="6" width="3.531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105</v>
      </c>
      <c r="C3" s="76"/>
      <c r="D3" s="76"/>
      <c r="E3" s="76"/>
      <c r="F3" s="76"/>
      <c r="G3" s="1"/>
    </row>
    <row r="4" spans="1:7" ht="29.2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126</v>
      </c>
      <c r="C8" s="38"/>
      <c r="D8" s="38"/>
      <c r="E8" s="38"/>
      <c r="F8" s="38"/>
      <c r="G8" s="1"/>
    </row>
    <row r="9" spans="1:7" x14ac:dyDescent="0.45">
      <c r="A9" s="1"/>
      <c r="B9" s="77" t="s">
        <v>23</v>
      </c>
      <c r="C9" s="77"/>
      <c r="D9" s="77"/>
      <c r="E9" s="7">
        <v>8475367.1777284164</v>
      </c>
      <c r="F9" s="44" t="s">
        <v>3</v>
      </c>
      <c r="G9" s="1"/>
    </row>
    <row r="10" spans="1:7" x14ac:dyDescent="0.45">
      <c r="A10" s="1"/>
      <c r="B10" s="78" t="s">
        <v>128</v>
      </c>
      <c r="C10" s="78"/>
      <c r="D10" s="78"/>
      <c r="E10" s="7">
        <v>-112229.93729172152</v>
      </c>
      <c r="F10" s="44" t="s">
        <v>3</v>
      </c>
      <c r="G10" s="1"/>
    </row>
    <row r="11" spans="1:7" x14ac:dyDescent="0.45">
      <c r="A11" s="1"/>
      <c r="B11" s="78" t="s">
        <v>60</v>
      </c>
      <c r="C11" s="78"/>
      <c r="D11" s="78"/>
      <c r="E11" s="7">
        <v>207525.2928</v>
      </c>
      <c r="F11" s="44" t="s">
        <v>3</v>
      </c>
      <c r="G11" s="1"/>
    </row>
    <row r="12" spans="1:7" x14ac:dyDescent="0.45">
      <c r="A12" s="1"/>
      <c r="B12" s="78" t="s">
        <v>65</v>
      </c>
      <c r="C12" s="78"/>
      <c r="D12" s="78"/>
      <c r="E12" s="7">
        <v>0</v>
      </c>
      <c r="F12" s="44" t="s">
        <v>3</v>
      </c>
      <c r="G12" s="1"/>
    </row>
    <row r="13" spans="1:7" x14ac:dyDescent="0.45">
      <c r="A13" s="1"/>
      <c r="B13" s="78" t="s">
        <v>61</v>
      </c>
      <c r="C13" s="78"/>
      <c r="D13" s="78"/>
      <c r="E13" s="8">
        <v>0</v>
      </c>
      <c r="F13" s="44" t="s">
        <v>3</v>
      </c>
      <c r="G13" s="1"/>
    </row>
    <row r="14" spans="1:7" x14ac:dyDescent="0.45">
      <c r="A14" s="1"/>
      <c r="B14" s="78" t="s">
        <v>18</v>
      </c>
      <c r="C14" s="78"/>
      <c r="D14" s="78"/>
      <c r="E14" s="8">
        <f>SUM(E9:E13)*'Fane 10. Nøgletal'!C13</f>
        <v>104562.0829054877</v>
      </c>
      <c r="F14" s="44" t="s">
        <v>3</v>
      </c>
      <c r="G14" s="1"/>
    </row>
    <row r="15" spans="1:7" x14ac:dyDescent="0.45">
      <c r="A15" s="1"/>
      <c r="B15" s="78" t="s">
        <v>54</v>
      </c>
      <c r="C15" s="78"/>
      <c r="D15" s="78"/>
      <c r="E15" s="8">
        <f>-SUM(E9:E14)*'Fane 10. Nøgletal'!C19</f>
        <v>-147478.81847441714</v>
      </c>
      <c r="F15" s="44" t="s">
        <v>3</v>
      </c>
      <c r="G15" s="1"/>
    </row>
    <row r="16" spans="1:7" x14ac:dyDescent="0.45">
      <c r="A16" s="1"/>
      <c r="B16" s="80" t="s">
        <v>20</v>
      </c>
      <c r="C16" s="80"/>
      <c r="D16" s="80"/>
      <c r="E16" s="9">
        <f>SUM(E9:E15)</f>
        <v>8527745.797667766</v>
      </c>
      <c r="F16" s="39" t="s">
        <v>3</v>
      </c>
      <c r="G16" s="1"/>
    </row>
    <row r="17" spans="1:7" x14ac:dyDescent="0.45">
      <c r="A17" s="1"/>
      <c r="B17" s="81" t="s">
        <v>12</v>
      </c>
      <c r="C17" s="81"/>
      <c r="D17" s="81"/>
      <c r="E17" s="38"/>
      <c r="F17" s="38"/>
      <c r="G17" s="1"/>
    </row>
    <row r="18" spans="1:7" x14ac:dyDescent="0.45">
      <c r="A18" s="1"/>
      <c r="B18" s="82" t="s">
        <v>12</v>
      </c>
      <c r="C18" s="82"/>
      <c r="D18" s="82"/>
      <c r="E18" s="9">
        <v>2620100.26405764</v>
      </c>
      <c r="F18" s="39" t="s">
        <v>3</v>
      </c>
      <c r="G18" s="1"/>
    </row>
    <row r="19" spans="1:7" ht="15.5" customHeight="1" x14ac:dyDescent="0.45">
      <c r="A19" s="1"/>
      <c r="B19" s="38" t="s">
        <v>42</v>
      </c>
      <c r="C19" s="38"/>
      <c r="D19" s="38"/>
      <c r="E19" s="38"/>
      <c r="F19" s="38"/>
      <c r="G19" s="1"/>
    </row>
    <row r="20" spans="1:7" ht="15.75" customHeight="1" x14ac:dyDescent="0.45">
      <c r="A20" s="1"/>
      <c r="B20" s="83" t="s">
        <v>39</v>
      </c>
      <c r="C20" s="84"/>
      <c r="D20" s="85"/>
      <c r="E20" s="35">
        <v>0</v>
      </c>
      <c r="F20" s="32" t="s">
        <v>3</v>
      </c>
      <c r="G20" s="1"/>
    </row>
    <row r="21" spans="1:7" x14ac:dyDescent="0.45">
      <c r="A21" s="1"/>
      <c r="B21" s="83" t="s">
        <v>40</v>
      </c>
      <c r="C21" s="84"/>
      <c r="D21" s="85"/>
      <c r="E21" s="35">
        <v>0</v>
      </c>
      <c r="F21" s="32" t="s">
        <v>3</v>
      </c>
      <c r="G21" s="1"/>
    </row>
    <row r="22" spans="1:7" x14ac:dyDescent="0.45">
      <c r="A22" s="1"/>
      <c r="B22" s="86" t="s">
        <v>43</v>
      </c>
      <c r="C22" s="87"/>
      <c r="D22" s="88"/>
      <c r="E22" s="9">
        <v>0</v>
      </c>
      <c r="F22" s="9" t="s">
        <v>3</v>
      </c>
      <c r="G22" s="1"/>
    </row>
    <row r="23" spans="1:7" ht="15.75" customHeight="1" x14ac:dyDescent="0.45">
      <c r="A23" s="1"/>
      <c r="B23" s="38" t="s">
        <v>85</v>
      </c>
      <c r="C23" s="38"/>
      <c r="D23" s="38"/>
      <c r="E23" s="38"/>
      <c r="F23" s="38"/>
      <c r="G23" s="1"/>
    </row>
    <row r="24" spans="1:7" x14ac:dyDescent="0.45">
      <c r="A24" s="1"/>
      <c r="B24" s="51" t="s">
        <v>31</v>
      </c>
      <c r="C24" s="37"/>
      <c r="D24" s="37"/>
      <c r="E24" s="9">
        <v>426443.75911879243</v>
      </c>
      <c r="F24" s="39" t="s">
        <v>3</v>
      </c>
      <c r="G24" s="1"/>
    </row>
    <row r="25" spans="1:7" x14ac:dyDescent="0.45">
      <c r="A25" s="1"/>
      <c r="B25" s="51" t="s">
        <v>86</v>
      </c>
      <c r="C25" s="37"/>
      <c r="D25" s="37"/>
      <c r="E25" s="9">
        <v>-245171.21670379862</v>
      </c>
      <c r="F25" s="39" t="s">
        <v>3</v>
      </c>
      <c r="G25" s="1"/>
    </row>
    <row r="26" spans="1:7" ht="15" customHeight="1" x14ac:dyDescent="0.45">
      <c r="A26" s="1"/>
      <c r="B26" s="38" t="s">
        <v>25</v>
      </c>
      <c r="C26" s="38"/>
      <c r="D26" s="38"/>
      <c r="E26" s="10">
        <f>E16+E18+E22+E24+E25</f>
        <v>11329118.604140399</v>
      </c>
      <c r="F26" s="11" t="s">
        <v>3</v>
      </c>
      <c r="G26" s="1"/>
    </row>
    <row r="27" spans="1:7" ht="27" customHeight="1" x14ac:dyDescent="0.45">
      <c r="A27" s="1"/>
      <c r="B27" s="79" t="s">
        <v>120</v>
      </c>
      <c r="C27" s="79"/>
      <c r="D27" s="79"/>
      <c r="E27" s="79"/>
      <c r="F27" s="79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+//FCZpN9rmeKTHfOqCOcLgT8p25btJD3KkDIUN15KElD7PADASLAFtb1OhyruaQ2HzTpVjbQ7TqErXMX5MJtA==" saltValue="mdFciAb/P1nTaa3bkk57KA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6640625" style="2" customWidth="1"/>
    <col min="3" max="3" width="24.86328125" style="2" customWidth="1"/>
    <col min="4" max="4" width="3.332031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4" t="s">
        <v>53</v>
      </c>
      <c r="C3" s="74"/>
      <c r="D3" s="74"/>
      <c r="E3" s="1"/>
      <c r="F3" s="1"/>
    </row>
    <row r="4" spans="1:6" ht="15" customHeight="1" x14ac:dyDescent="0.45">
      <c r="A4" s="1"/>
      <c r="B4" s="74"/>
      <c r="C4" s="74"/>
      <c r="D4" s="7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9" t="s">
        <v>107</v>
      </c>
      <c r="C8" s="90"/>
      <c r="D8" s="91"/>
      <c r="E8" s="1"/>
      <c r="F8" s="1"/>
    </row>
    <row r="9" spans="1:6" ht="15" customHeight="1" x14ac:dyDescent="0.45">
      <c r="A9" s="1"/>
      <c r="B9" s="17" t="s">
        <v>29</v>
      </c>
      <c r="C9" s="39" t="s">
        <v>106</v>
      </c>
      <c r="D9" s="39"/>
      <c r="E9" s="1"/>
      <c r="F9" s="1"/>
    </row>
    <row r="10" spans="1:6" x14ac:dyDescent="0.45">
      <c r="A10" s="1"/>
      <c r="B10" s="28" t="s">
        <v>132</v>
      </c>
      <c r="C10" s="8">
        <v>2207970</v>
      </c>
      <c r="D10" s="12" t="s">
        <v>3</v>
      </c>
      <c r="E10" s="1"/>
      <c r="F10" s="1"/>
    </row>
    <row r="11" spans="1:6" x14ac:dyDescent="0.45">
      <c r="A11" s="1"/>
      <c r="B11" s="28" t="s">
        <v>133</v>
      </c>
      <c r="C11" s="8">
        <v>7554</v>
      </c>
      <c r="D11" s="12" t="s">
        <v>3</v>
      </c>
      <c r="E11" s="1"/>
      <c r="F11" s="1"/>
    </row>
    <row r="12" spans="1:6" x14ac:dyDescent="0.45">
      <c r="A12" s="1"/>
      <c r="B12" s="28" t="s">
        <v>134</v>
      </c>
      <c r="C12" s="8">
        <v>2352</v>
      </c>
      <c r="D12" s="12" t="s">
        <v>3</v>
      </c>
      <c r="E12" s="1"/>
      <c r="F12" s="1"/>
    </row>
    <row r="13" spans="1:6" x14ac:dyDescent="0.45">
      <c r="A13" s="1"/>
      <c r="B13" s="54" t="s">
        <v>108</v>
      </c>
      <c r="C13" s="10">
        <f>SUM(C10:C12)</f>
        <v>2217876</v>
      </c>
      <c r="D13" s="11" t="s">
        <v>3</v>
      </c>
      <c r="E13" s="1"/>
      <c r="F13" s="1"/>
    </row>
    <row r="14" spans="1:6" x14ac:dyDescent="0.45">
      <c r="A14" s="1"/>
      <c r="B14" s="54" t="s">
        <v>109</v>
      </c>
      <c r="C14" s="10">
        <f>C13*(1+'Fane 10. Nøgletal'!C14)^2</f>
        <v>2232538.1342696403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UiyTztGkkt3GbsftcJCa93xl0XqqDFDIuBY7D+Ig2TTt+RY2vx+lCot4lRVoILbWKnYCMJkpnqiT/eqvCgM3Kg==" saltValue="k+ZgbESpQYrc6LpKgQrR0w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7.33203125" style="2" customWidth="1"/>
    <col min="5" max="5" width="10.6640625" style="2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6" t="s">
        <v>152</v>
      </c>
      <c r="C3" s="76"/>
      <c r="D3" s="76"/>
      <c r="E3" s="76"/>
      <c r="F3" s="76"/>
      <c r="G3" s="1"/>
    </row>
    <row r="4" spans="1:7" ht="15" customHeight="1" x14ac:dyDescent="0.45">
      <c r="A4" s="1"/>
      <c r="B4" s="76"/>
      <c r="C4" s="76"/>
      <c r="D4" s="76"/>
      <c r="E4" s="76"/>
      <c r="F4" s="76"/>
      <c r="G4" s="1"/>
    </row>
    <row r="5" spans="1:7" ht="15" customHeight="1" x14ac:dyDescent="0.45">
      <c r="A5" s="1"/>
      <c r="B5" s="43"/>
      <c r="C5" s="43"/>
      <c r="D5" s="43"/>
      <c r="E5" s="43"/>
      <c r="F5" s="43"/>
      <c r="G5" s="1"/>
    </row>
    <row r="6" spans="1:7" ht="15" customHeight="1" x14ac:dyDescent="0.45">
      <c r="A6" s="1"/>
      <c r="B6" s="43"/>
      <c r="C6" s="43"/>
      <c r="D6" s="43"/>
      <c r="E6" s="43"/>
      <c r="F6" s="43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136</v>
      </c>
      <c r="C8" s="90"/>
      <c r="D8" s="90"/>
      <c r="E8" s="90"/>
      <c r="F8" s="91"/>
      <c r="G8" s="1"/>
    </row>
    <row r="9" spans="1:7" x14ac:dyDescent="0.45">
      <c r="A9" s="1"/>
      <c r="B9" s="99" t="s">
        <v>137</v>
      </c>
      <c r="C9" s="100"/>
      <c r="D9" s="101"/>
      <c r="E9" s="8">
        <v>416921.2610694766</v>
      </c>
      <c r="F9" s="12" t="s">
        <v>3</v>
      </c>
      <c r="G9" s="1"/>
    </row>
    <row r="10" spans="1:7" x14ac:dyDescent="0.45">
      <c r="A10" s="1"/>
      <c r="B10" s="99" t="s">
        <v>138</v>
      </c>
      <c r="C10" s="100"/>
      <c r="D10" s="101"/>
      <c r="E10" s="8">
        <v>-581339.69447707385</v>
      </c>
      <c r="F10" s="12" t="s">
        <v>3</v>
      </c>
      <c r="G10" s="1"/>
    </row>
    <row r="11" spans="1:7" x14ac:dyDescent="0.45">
      <c r="A11" s="1"/>
      <c r="B11" s="99" t="s">
        <v>139</v>
      </c>
      <c r="C11" s="100"/>
      <c r="D11" s="101"/>
      <c r="E11" s="8">
        <v>-325924.13799013942</v>
      </c>
      <c r="F11" s="12" t="s">
        <v>3</v>
      </c>
      <c r="G11" s="1"/>
    </row>
    <row r="12" spans="1:7" x14ac:dyDescent="0.45">
      <c r="A12" s="1"/>
      <c r="B12" s="54"/>
      <c r="C12" s="22"/>
      <c r="D12" s="22"/>
      <c r="E12" s="22"/>
      <c r="F12" s="55"/>
      <c r="G12" s="1"/>
    </row>
    <row r="13" spans="1:7" ht="51.75" customHeight="1" x14ac:dyDescent="0.45">
      <c r="A13" s="1"/>
      <c r="B13" s="102" t="s">
        <v>140</v>
      </c>
      <c r="C13" s="103"/>
      <c r="D13" s="103"/>
      <c r="E13" s="103"/>
      <c r="F13" s="104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9" t="s">
        <v>141</v>
      </c>
      <c r="C15" s="90"/>
      <c r="D15" s="90"/>
      <c r="E15" s="90"/>
      <c r="F15" s="91"/>
      <c r="G15" s="1"/>
    </row>
    <row r="16" spans="1:7" x14ac:dyDescent="0.45">
      <c r="A16" s="1"/>
      <c r="B16" s="99" t="s">
        <v>142</v>
      </c>
      <c r="C16" s="100"/>
      <c r="D16" s="101"/>
      <c r="E16" s="8">
        <v>-245171.21670379862</v>
      </c>
      <c r="F16" s="12" t="s">
        <v>3</v>
      </c>
      <c r="G16" s="1"/>
    </row>
    <row r="17" spans="1:7" x14ac:dyDescent="0.45">
      <c r="A17" s="1"/>
      <c r="B17" s="99" t="s">
        <v>143</v>
      </c>
      <c r="C17" s="100"/>
      <c r="D17" s="101"/>
      <c r="E17" s="8">
        <v>-245171.21670379862</v>
      </c>
      <c r="F17" s="12" t="s">
        <v>3</v>
      </c>
      <c r="G17" s="1"/>
    </row>
    <row r="18" spans="1:7" x14ac:dyDescent="0.45">
      <c r="A18" s="1"/>
      <c r="B18" s="54"/>
      <c r="C18" s="22"/>
      <c r="D18" s="22"/>
      <c r="E18" s="22"/>
      <c r="F18" s="55"/>
      <c r="G18" s="1"/>
    </row>
    <row r="19" spans="1:7" ht="29.25" customHeight="1" x14ac:dyDescent="0.45">
      <c r="A19" s="1"/>
      <c r="B19" s="102" t="s">
        <v>144</v>
      </c>
      <c r="C19" s="103"/>
      <c r="D19" s="103"/>
      <c r="E19" s="103"/>
      <c r="F19" s="104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5" t="s">
        <v>122</v>
      </c>
      <c r="C21" s="46"/>
      <c r="D21" s="46"/>
      <c r="E21" s="46"/>
      <c r="F21" s="47"/>
      <c r="G21" s="1"/>
    </row>
    <row r="22" spans="1:7" x14ac:dyDescent="0.45">
      <c r="A22" s="1"/>
      <c r="B22" s="48" t="s">
        <v>123</v>
      </c>
      <c r="C22" s="49"/>
      <c r="D22" s="50"/>
      <c r="E22" s="8">
        <v>10720313.595085219</v>
      </c>
      <c r="F22" s="12" t="s">
        <v>3</v>
      </c>
      <c r="G22" s="1"/>
    </row>
    <row r="23" spans="1:7" x14ac:dyDescent="0.45">
      <c r="A23" s="1"/>
      <c r="B23" s="48" t="s">
        <v>124</v>
      </c>
      <c r="C23" s="49"/>
      <c r="D23" s="50"/>
      <c r="E23" s="8">
        <v>11068831</v>
      </c>
      <c r="F23" s="12" t="s">
        <v>3</v>
      </c>
      <c r="G23" s="1"/>
    </row>
    <row r="24" spans="1:7" x14ac:dyDescent="0.45">
      <c r="A24" s="1"/>
      <c r="B24" s="48" t="s">
        <v>30</v>
      </c>
      <c r="C24" s="49"/>
      <c r="D24" s="50"/>
      <c r="E24" s="8">
        <v>-206000</v>
      </c>
      <c r="F24" s="12" t="s">
        <v>3</v>
      </c>
      <c r="G24" s="1"/>
    </row>
    <row r="25" spans="1:7" x14ac:dyDescent="0.45">
      <c r="A25" s="1"/>
      <c r="B25" s="40" t="s">
        <v>125</v>
      </c>
      <c r="C25" s="41"/>
      <c r="D25" s="42"/>
      <c r="E25" s="34">
        <f>E22-(E23-E24)</f>
        <v>-554517.40491478145</v>
      </c>
      <c r="F25" s="15" t="s">
        <v>3</v>
      </c>
      <c r="G25" s="1"/>
    </row>
    <row r="26" spans="1:7" x14ac:dyDescent="0.45">
      <c r="A26" s="1"/>
      <c r="B26" s="54"/>
      <c r="C26" s="22"/>
      <c r="D26" s="22"/>
      <c r="E26" s="22"/>
      <c r="F26" s="55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9" t="s">
        <v>145</v>
      </c>
      <c r="C28" s="90"/>
      <c r="D28" s="90"/>
      <c r="E28" s="90"/>
      <c r="F28" s="91"/>
      <c r="G28" s="1"/>
    </row>
    <row r="29" spans="1:7" x14ac:dyDescent="0.45">
      <c r="A29" s="1"/>
      <c r="B29" s="86" t="s">
        <v>146</v>
      </c>
      <c r="C29" s="87"/>
      <c r="D29" s="88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9"/>
      <c r="C30" s="90"/>
      <c r="D30" s="90"/>
      <c r="E30" s="90"/>
      <c r="F30" s="9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9" t="s">
        <v>147</v>
      </c>
      <c r="C32" s="90"/>
      <c r="D32" s="90"/>
      <c r="E32" s="90"/>
      <c r="F32" s="91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-554517.40491478145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8" t="s">
        <v>148</v>
      </c>
      <c r="C35" s="98"/>
      <c r="D35" s="98"/>
      <c r="E35" s="9">
        <f>E33/E34</f>
        <v>-138629.35122869536</v>
      </c>
      <c r="F35" s="15" t="s">
        <v>3</v>
      </c>
      <c r="G35" s="1"/>
    </row>
    <row r="36" spans="1:7" x14ac:dyDescent="0.45">
      <c r="A36" s="1"/>
      <c r="B36" s="92"/>
      <c r="C36" s="93"/>
      <c r="D36" s="93"/>
      <c r="E36" s="93"/>
      <c r="F36" s="94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NdYmHLOLxLqkzgnzejNQcCP1maMHxeLHvE6GWiL8/xs6c3qX+midzm3EMg0kgHXnXKoEeDGPNBXQ+vU2H4nPbQ==" saltValue="nnQxGQxhzSpNh2wnGOiGFg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9:D9"/>
    <mergeCell ref="B19:F19"/>
    <mergeCell ref="B29:D29"/>
    <mergeCell ref="B8:F8"/>
    <mergeCell ref="B10:D10"/>
    <mergeCell ref="B11:D11"/>
    <mergeCell ref="B13:F13"/>
    <mergeCell ref="B15:F15"/>
    <mergeCell ref="B36:F36"/>
    <mergeCell ref="B34:D34"/>
    <mergeCell ref="B33:D33"/>
    <mergeCell ref="B32:F32"/>
    <mergeCell ref="B35:D35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6640625" style="2" customWidth="1"/>
    <col min="2" max="2" width="22.53125" style="2" customWidth="1"/>
    <col min="3" max="3" width="8.33203125" style="2" customWidth="1"/>
    <col min="4" max="6" width="10.6640625" style="2" customWidth="1"/>
    <col min="7" max="7" width="11.1328125" style="2" customWidth="1"/>
    <col min="8" max="8" width="3.332031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4" t="s">
        <v>88</v>
      </c>
      <c r="C3" s="74"/>
      <c r="D3" s="74"/>
      <c r="E3" s="74"/>
      <c r="F3" s="74"/>
      <c r="G3" s="74"/>
      <c r="H3" s="74"/>
      <c r="I3" s="1"/>
    </row>
    <row r="4" spans="1:9" ht="15" customHeight="1" x14ac:dyDescent="0.4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9" t="s">
        <v>79</v>
      </c>
      <c r="C8" s="90"/>
      <c r="D8" s="90"/>
      <c r="E8" s="90"/>
      <c r="F8" s="90"/>
      <c r="G8" s="90"/>
      <c r="H8" s="91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9" t="s">
        <v>2</v>
      </c>
      <c r="F9" s="39" t="s">
        <v>11</v>
      </c>
      <c r="G9" s="39" t="s">
        <v>27</v>
      </c>
      <c r="H9" s="53"/>
      <c r="I9" s="1"/>
    </row>
    <row r="10" spans="1:9" x14ac:dyDescent="0.45">
      <c r="A10" s="1"/>
      <c r="B10" s="56"/>
      <c r="C10" s="57"/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9" t="s">
        <v>80</v>
      </c>
      <c r="C11" s="90"/>
      <c r="D11" s="91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s/wL8cLwlXtU4V6vfkkA8PFbX3vICLVuyhCrsYDlAoJyYLnqUZ91NQroHA6BXY5Oo+0zqSO0HhX2pzC+teZJsw==" saltValue="ALjDzsPEGDkqONkkM5N7LQ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2021-09-08T20:54:01Z</dcterms:modified>
</cp:coreProperties>
</file>