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Stenlien Vandværk a.m.b.a. (V173)\ØR2025\"/>
    </mc:Choice>
  </mc:AlternateContent>
  <xr:revisionPtr revIDLastSave="0" documentId="13_ncr:1_{BA0B7917-34E9-4F2A-AF07-F6050099C8F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Periodevise driftsomk." sheetId="18" r:id="rId14"/>
    <sheet name="Fane 11. Bortfald" sheetId="13" r:id="rId15"/>
    <sheet name="Fane 12. Nøgletal" sheetId="14" r:id="rId16"/>
  </sheets>
  <definedNames>
    <definedName name="Fane21">'Fane 2.1. Økonomisk ramme 2025'!$B$8:$D$29</definedName>
    <definedName name="Fane21total">'Fane 2.1. Økonomisk ramme 2025'!$C$29</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Bortfald'!$B$8:$F$12</definedName>
    <definedName name="Tabel_Fane_2_1">'Fane 2.1. Økonomisk ramme 2025'!$B$8:$D$29</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8" i="7" l="1"/>
  <c r="C24" i="16" l="1"/>
  <c r="C9" i="2" l="1"/>
  <c r="C25" i="18" l="1"/>
  <c r="C26" i="18" s="1"/>
  <c r="C16" i="5" s="1"/>
  <c r="C20" i="18"/>
  <c r="C21" i="18" s="1"/>
  <c r="C16" i="4" s="1"/>
  <c r="C15" i="18"/>
  <c r="C16" i="18" s="1"/>
  <c r="C16" i="3" s="1"/>
  <c r="C10" i="18"/>
  <c r="C11" i="18" s="1"/>
  <c r="C19" i="2" s="1"/>
  <c r="F10" i="9" l="1"/>
  <c r="E11" i="13" l="1"/>
  <c r="C16" i="16" l="1"/>
  <c r="C15" i="16"/>
  <c r="C17" i="16" l="1"/>
  <c r="C18" i="5"/>
  <c r="C20" i="4"/>
  <c r="C20" i="3"/>
  <c r="C28" i="2"/>
  <c r="J11" i="9" l="1"/>
  <c r="H11" i="9"/>
  <c r="C28" i="16" l="1"/>
  <c r="C30" i="16" s="1"/>
  <c r="C18" i="3" l="1"/>
  <c r="C26" i="2"/>
  <c r="C18" i="15"/>
  <c r="C11" i="12" l="1"/>
  <c r="C12" i="12" s="1"/>
  <c r="E11" i="12"/>
  <c r="E12" i="12" s="1"/>
  <c r="E15" i="11"/>
  <c r="E16" i="11" s="1"/>
  <c r="C15" i="11"/>
  <c r="C16" i="11" s="1"/>
  <c r="C19" i="7"/>
  <c r="C14" i="5" l="1"/>
  <c r="C14" i="4"/>
  <c r="C14" i="3"/>
  <c r="F11" i="9"/>
  <c r="E10" i="10" s="1"/>
  <c r="C12" i="2" l="1"/>
  <c r="C10" i="10" l="1"/>
  <c r="C16" i="10" l="1"/>
  <c r="C17" i="10" s="1"/>
  <c r="E12" i="13" l="1"/>
  <c r="C11" i="13"/>
  <c r="C12" i="13" s="1"/>
  <c r="C11" i="2" l="1"/>
  <c r="C21" i="2" l="1"/>
  <c r="C22" i="2"/>
  <c r="C23" i="2" l="1"/>
  <c r="C24" i="2" s="1"/>
  <c r="C17" i="2" l="1"/>
  <c r="E16" i="10" l="1"/>
  <c r="E17" i="10" s="1"/>
  <c r="C10" i="2" l="1"/>
  <c r="C13" i="2" s="1"/>
  <c r="C14" i="2" l="1"/>
  <c r="C15" i="2" s="1"/>
  <c r="C29" i="2" s="1"/>
  <c r="C9" i="3" l="1"/>
  <c r="C10" i="3" s="1"/>
  <c r="C11" i="3" l="1"/>
  <c r="C12" i="3" s="1"/>
  <c r="C21" i="3" s="1"/>
  <c r="C9" i="4" l="1"/>
  <c r="C10" i="4" s="1"/>
  <c r="C11" i="4" l="1"/>
  <c r="C12" i="4" s="1"/>
  <c r="C21" i="4" s="1"/>
  <c r="C9" i="5" l="1"/>
  <c r="C10" i="5" l="1"/>
  <c r="C11" i="5" s="1"/>
  <c r="C12" i="5" s="1"/>
  <c r="C19" i="5" s="1"/>
</calcChain>
</file>

<file path=xl/sharedStrings.xml><?xml version="1.0" encoding="utf-8"?>
<sst xmlns="http://schemas.openxmlformats.org/spreadsheetml/2006/main" count="380" uniqueCount="156">
  <si>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</si>
  <si>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</si>
  <si>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</si>
  <si>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</si>
  <si>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</si>
  <si>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</si>
  <si>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</si>
  <si>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</si>
  <si>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</si>
  <si>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</si>
  <si>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</si>
  <si>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</si>
  <si>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</si>
  <si>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</si>
  <si>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</si>
  <si>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</si>
  <si>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</si>
  <si>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</si>
  <si>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</si>
  <si>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</si>
  <si>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</si>
  <si>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</si>
  <si>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</si>
  <si>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</si>
  <si>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</si>
  <si>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</si>
  <si>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</si>
  <si>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</si>
  <si>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</si>
  <si>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</si>
  <si>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</si>
  <si>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</si>
  <si>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</si>
  <si>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</si>
  <si>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</si>
  <si>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</si>
  <si>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</si>
  <si>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</si>
  <si>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</si>
  <si>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</si>
  <si>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</si>
  <si>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</si>
  <si>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</si>
  <si>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</si>
  <si>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</si>
  <si>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</si>
  <si>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</si>
  <si>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</si>
  <si>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</si>
  <si>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</si>
  <si>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</si>
  <si>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</si>
  <si>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</si>
  <si>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</si>
  <si>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</si>
  <si>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</si>
  <si>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</si>
  <si>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</si>
  <si>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</si>
  <si>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</si>
  <si>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</si>
  <si>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</si>
  <si>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</si>
  <si>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</si>
  <si>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</si>
  <si>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</si>
  <si>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</si>
  <si>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</si>
  <si>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</si>
  <si>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</si>
  <si>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</si>
  <si>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</si>
  <si>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</si>
  <si>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</si>
  <si>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</si>
  <si>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</si>
  <si>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</si>
  <si>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</si>
  <si>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</si>
  <si>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</si>
  <si>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</si>
  <si>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</si>
  <si>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</si>
  <si>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</si>
  <si>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</si>
  <si>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</si>
  <si>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</si>
  <si>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</si>
  <si>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</si>
  <si>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</si>
  <si>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</si>
  <si>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</si>
  <si>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</si>
  <si>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</si>
  <si>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</si>
  <si>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</si>
  <si>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</si>
  <si>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</si>
  <si>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</si>
  <si>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</si>
  <si>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</si>
  <si>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</si>
  <si>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</si>
  <si>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</si>
  <si>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</si>
  <si>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</si>
  <si>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</si>
  <si>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</si>
  <si>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</si>
  <si>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</si>
  <si>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</si>
  <si>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</si>
  <si>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</si>
  <si>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</si>
  <si>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</si>
  <si>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</si>
  <si>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</si>
  <si>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</si>
  <si>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</si>
  <si>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</si>
  <si>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</si>
  <si>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</si>
  <si>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</si>
  <si>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</si>
  <si>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</si>
  <si>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</si>
  <si>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</si>
  <si>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</si>
  <si>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</si>
  <si>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Resultat af kontrol med overholdelse af den økonomiske rammer for 2023</t>
  </si>
  <si>
    <t>Samlet fradrag til indregning i de økonomiske rammer for 2025-2026</t>
  </si>
  <si>
    <t>Prisudvikling til brug for ØR2023-2024</t>
  </si>
  <si>
    <t>Prisudvikling til brug for ØR2025-2028</t>
  </si>
  <si>
    <t>Bortfald eller nedsættelse i alt i 2025-prisniveau</t>
  </si>
  <si>
    <t>Omkostninger til § 19-tillæg i alt - 2023 prisniveau</t>
  </si>
  <si>
    <t>Ingen tilknyttet virksomhed under hovedvirksomheden</t>
  </si>
  <si>
    <t>Ingen bortfald eller nedsættelse</t>
  </si>
  <si>
    <t>Ingen anlægsprojekter</t>
  </si>
  <si>
    <t>Fane 10: Periodevise driftsomkostninger givet under prisloftsbekendtgørelsen</t>
  </si>
  <si>
    <t>Periodevise driftsomkostninger til de økonomiske rammer for 2025</t>
  </si>
  <si>
    <t>Periodevise driftsomkostninger i alt i 2025-prisniveau</t>
  </si>
  <si>
    <t>Periodevise driftsomkostninger til de økonomiske rammer for 2026</t>
  </si>
  <si>
    <t>Periodevise driftsomkostninger i alt i 2026-prisniveau</t>
  </si>
  <si>
    <t>Periodevise driftsomkostninger til de økonomiske rammer for 2027</t>
  </si>
  <si>
    <t>Periodevise driftsomkostninger i alt i 2027-prisniveau</t>
  </si>
  <si>
    <t>Periodevise driftsomkostninger i alt i 2023-prisniveau</t>
  </si>
  <si>
    <t>Periodevise driftsomkostninger til de økonomiske rammer for 2028</t>
  </si>
  <si>
    <t>Periodevise driftsomkostninger i alt i 2028-prisniveau</t>
  </si>
  <si>
    <t>Fane 12</t>
  </si>
  <si>
    <t>Periodevise driftsomkostninger</t>
  </si>
  <si>
    <t>Øvrig korrektion af den økonomiske ramme</t>
  </si>
  <si>
    <t>Korrektion af den økonomiske ramme for 2022</t>
  </si>
  <si>
    <t xml:space="preserve">Note: Denne opgørelse er taget fra jeres økonomiske ramme for 2024. 
I kan derfor ikke komme med høringssvar til denne opgørelse. </t>
  </si>
  <si>
    <t>Fradrag i de økonomiske rammer for 2025-2026 vedr. en evt. overdækning i 2022</t>
  </si>
  <si>
    <t>Afgift til Forsyningssekretariatet</t>
  </si>
  <si>
    <t>Skønnede indtægter 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</si>
</sst>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3" fontId="0" fillId="2" borderId="0" xfId="0" applyNumberFormat="1" applyFill="1" applyProtection="1"/>
    <xf numFmtId="0" fontId="8" fillId="7" borderId="1" xfId="0" applyFont="1" applyFill="1" applyBorder="1" applyAlignment="1" applyProtection="1"/>
    <xf numFmtId="0" fontId="8" fillId="7" borderId="2" xfId="0" quotePrefix="1" applyFont="1" applyFill="1" applyBorder="1" applyAlignment="1" applyProtection="1"/>
    <xf numFmtId="3" fontId="7" fillId="3" borderId="1" xfId="0" applyNumberFormat="1" applyFont="1" applyFill="1" applyBorder="1" applyAlignment="1" applyProtection="1"/>
    <xf numFmtId="0" fontId="0" fillId="2" borderId="0" xfId="0" applyFill="1" applyAlignment="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2"/>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2" t="s">
        <v>4</v>
      </c>
      <c r="D6" s="82"/>
      <c r="E6" s="82"/>
      <c r="F6" s="82"/>
      <c r="G6" s="3"/>
    </row>
    <row r="7" spans="1:7" ht="15" customHeight="1" x14ac:dyDescent="0.25">
      <c r="A7" s="1"/>
      <c r="B7" s="3"/>
      <c r="C7" s="82"/>
      <c r="D7" s="82"/>
      <c r="E7" s="82"/>
      <c r="F7" s="82"/>
      <c r="G7" s="3"/>
    </row>
    <row r="8" spans="1:7" ht="15.75" x14ac:dyDescent="0.25">
      <c r="A8" s="1"/>
      <c r="B8" s="4"/>
      <c r="C8" s="84" t="s">
        <v>118</v>
      </c>
      <c r="D8" s="84"/>
      <c r="E8" s="84"/>
      <c r="F8" s="84"/>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3" t="s">
        <v>5</v>
      </c>
      <c r="D11" s="83"/>
      <c r="E11" s="83"/>
      <c r="F11" s="83"/>
      <c r="G11" s="5"/>
    </row>
    <row r="12" spans="1:7" x14ac:dyDescent="0.25">
      <c r="A12" s="1"/>
      <c r="B12" s="1"/>
      <c r="C12" s="1"/>
      <c r="D12" s="1"/>
      <c r="E12" s="1"/>
      <c r="F12" s="1"/>
      <c r="G12" s="1"/>
    </row>
    <row r="13" spans="1:7" x14ac:dyDescent="0.25">
      <c r="A13" s="1"/>
      <c r="B13" s="6" t="s">
        <v>6</v>
      </c>
      <c r="C13" s="79" t="s">
        <v>112</v>
      </c>
      <c r="D13" s="80"/>
      <c r="E13" s="80"/>
      <c r="F13" s="81"/>
      <c r="G13" s="1"/>
    </row>
    <row r="14" spans="1:7" x14ac:dyDescent="0.25">
      <c r="A14" s="1"/>
      <c r="B14" s="6" t="s">
        <v>14</v>
      </c>
      <c r="C14" s="79" t="s">
        <v>115</v>
      </c>
      <c r="D14" s="80"/>
      <c r="E14" s="80"/>
      <c r="F14" s="81"/>
      <c r="G14" s="1"/>
    </row>
    <row r="15" spans="1:7" x14ac:dyDescent="0.25">
      <c r="A15" s="1"/>
      <c r="B15" s="6" t="s">
        <v>25</v>
      </c>
      <c r="C15" s="79" t="s">
        <v>88</v>
      </c>
      <c r="D15" s="80"/>
      <c r="E15" s="80"/>
      <c r="F15" s="81"/>
      <c r="G15" s="1"/>
    </row>
    <row r="16" spans="1:7" x14ac:dyDescent="0.25">
      <c r="A16" s="1"/>
      <c r="B16" s="6" t="s">
        <v>26</v>
      </c>
      <c r="C16" s="79" t="s">
        <v>113</v>
      </c>
      <c r="D16" s="80"/>
      <c r="E16" s="80"/>
      <c r="F16" s="81"/>
      <c r="G16" s="1"/>
    </row>
    <row r="17" spans="1:7" x14ac:dyDescent="0.25">
      <c r="A17" s="1"/>
      <c r="B17" s="6" t="s">
        <v>41</v>
      </c>
      <c r="C17" s="79" t="s">
        <v>116</v>
      </c>
      <c r="D17" s="80"/>
      <c r="E17" s="80"/>
      <c r="F17" s="81"/>
      <c r="G17" s="1"/>
    </row>
    <row r="18" spans="1:7" x14ac:dyDescent="0.25">
      <c r="A18" s="1"/>
      <c r="B18" s="6" t="s">
        <v>7</v>
      </c>
      <c r="C18" s="76" t="s">
        <v>11</v>
      </c>
      <c r="D18" s="77"/>
      <c r="E18" s="77"/>
      <c r="F18" s="78"/>
      <c r="G18" s="1"/>
    </row>
    <row r="19" spans="1:7" x14ac:dyDescent="0.25">
      <c r="A19" s="1"/>
      <c r="B19" s="6" t="s">
        <v>8</v>
      </c>
      <c r="C19" s="70" t="s">
        <v>117</v>
      </c>
      <c r="D19" s="71"/>
      <c r="E19" s="71"/>
      <c r="F19" s="72"/>
      <c r="G19" s="1"/>
    </row>
    <row r="20" spans="1:7" x14ac:dyDescent="0.25">
      <c r="A20" s="1"/>
      <c r="B20" s="6" t="s">
        <v>38</v>
      </c>
      <c r="C20" s="70" t="s">
        <v>65</v>
      </c>
      <c r="D20" s="71"/>
      <c r="E20" s="71"/>
      <c r="F20" s="72"/>
      <c r="G20" s="1"/>
    </row>
    <row r="21" spans="1:7" x14ac:dyDescent="0.25">
      <c r="A21" s="1"/>
      <c r="B21" s="6" t="s">
        <v>87</v>
      </c>
      <c r="C21" s="70" t="s">
        <v>62</v>
      </c>
      <c r="D21" s="71"/>
      <c r="E21" s="71"/>
      <c r="F21" s="72"/>
      <c r="G21" s="1"/>
    </row>
    <row r="22" spans="1:7" x14ac:dyDescent="0.25">
      <c r="A22" s="1"/>
      <c r="B22" s="6" t="s">
        <v>72</v>
      </c>
      <c r="C22" s="70" t="s">
        <v>31</v>
      </c>
      <c r="D22" s="71"/>
      <c r="E22" s="71"/>
      <c r="F22" s="72"/>
      <c r="G22" s="1"/>
    </row>
    <row r="23" spans="1:7" x14ac:dyDescent="0.25">
      <c r="A23" s="1"/>
      <c r="B23" s="6" t="s">
        <v>73</v>
      </c>
      <c r="C23" s="70" t="s">
        <v>32</v>
      </c>
      <c r="D23" s="71"/>
      <c r="E23" s="71"/>
      <c r="F23" s="72"/>
      <c r="G23" s="1"/>
    </row>
    <row r="24" spans="1:7" x14ac:dyDescent="0.25">
      <c r="A24" s="1"/>
      <c r="B24" s="6" t="s">
        <v>9</v>
      </c>
      <c r="C24" s="70" t="s">
        <v>44</v>
      </c>
      <c r="D24" s="71"/>
      <c r="E24" s="71"/>
      <c r="F24" s="72"/>
      <c r="G24" s="1"/>
    </row>
    <row r="25" spans="1:7" x14ac:dyDescent="0.25">
      <c r="A25" s="1"/>
      <c r="B25" s="6" t="s">
        <v>34</v>
      </c>
      <c r="C25" s="70" t="s">
        <v>149</v>
      </c>
      <c r="D25" s="71"/>
      <c r="E25" s="71"/>
      <c r="F25" s="72"/>
      <c r="G25" s="1"/>
    </row>
    <row r="26" spans="1:7" x14ac:dyDescent="0.25">
      <c r="A26" s="1"/>
      <c r="B26" s="6" t="s">
        <v>74</v>
      </c>
      <c r="C26" s="70" t="s">
        <v>27</v>
      </c>
      <c r="D26" s="71"/>
      <c r="E26" s="71"/>
      <c r="F26" s="72"/>
      <c r="G26" s="1"/>
    </row>
    <row r="27" spans="1:7" x14ac:dyDescent="0.25">
      <c r="A27" s="1"/>
      <c r="B27" s="6" t="s">
        <v>148</v>
      </c>
      <c r="C27" s="73" t="s">
        <v>39</v>
      </c>
      <c r="D27" s="74"/>
      <c r="E27" s="74"/>
      <c r="F27" s="75"/>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hidden="1" x14ac:dyDescent="0.25">
      <c r="A52" s="27"/>
      <c r="B52" s="27"/>
      <c r="C52" s="27"/>
      <c r="D52" s="27"/>
      <c r="E52" s="27"/>
      <c r="F52" s="27"/>
      <c r="G52" s="27"/>
    </row>
  </sheetData>
  <sheetProtection algorithmName="SHA-512" hashValue="XgiOOnmQgxc+wF3teDWQe+77SSw7Bis7f8j6FaSxL03LipoHl0CrjXjYg7tk+V1KRa8ls3zUK9L08l9TXtZzTQ==" saltValue="eTI01X1wN9dDsBxD/xIkF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8">
    <mergeCell ref="C14:F14"/>
    <mergeCell ref="C6:F7"/>
    <mergeCell ref="C19:F19"/>
    <mergeCell ref="C11:F11"/>
    <mergeCell ref="C8:F8"/>
    <mergeCell ref="C15:F15"/>
    <mergeCell ref="C16:F16"/>
    <mergeCell ref="C13:F13"/>
    <mergeCell ref="C17:F17"/>
    <mergeCell ref="C26:F26"/>
    <mergeCell ref="C27:F27"/>
    <mergeCell ref="C18:F18"/>
    <mergeCell ref="C21:F21"/>
    <mergeCell ref="C22:F22"/>
    <mergeCell ref="C24:F24"/>
    <mergeCell ref="C23:F23"/>
    <mergeCell ref="C20:F20"/>
    <mergeCell ref="C25:F25"/>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6:F26"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7:F27"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 ref="C25:F25" location="'Fane 10. Periodevise driftsomk.'!A1" display="Tilknyttet virksomhed" xr:uid="{DFCA6098-1008-4CE9-8288-67791A893347}"/>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66</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60</v>
      </c>
      <c r="C8" s="90"/>
      <c r="D8" s="90"/>
      <c r="E8" s="90"/>
      <c r="F8" s="90"/>
      <c r="G8" s="90"/>
      <c r="H8" s="90"/>
      <c r="I8" s="90"/>
      <c r="J8" s="90"/>
      <c r="K8" s="91"/>
      <c r="L8" s="1"/>
    </row>
    <row r="9" spans="1:12" ht="39.75" customHeight="1" x14ac:dyDescent="0.25">
      <c r="A9" s="1"/>
      <c r="B9" s="38" t="s">
        <v>0</v>
      </c>
      <c r="C9" s="16" t="s">
        <v>1</v>
      </c>
      <c r="D9" s="101" t="s">
        <v>63</v>
      </c>
      <c r="E9" s="102"/>
      <c r="F9" s="101" t="s">
        <v>2</v>
      </c>
      <c r="G9" s="102"/>
      <c r="H9" s="101" t="s">
        <v>64</v>
      </c>
      <c r="I9" s="102"/>
      <c r="J9" s="101" t="s">
        <v>21</v>
      </c>
      <c r="K9" s="102"/>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62" t="s">
        <v>134</v>
      </c>
      <c r="C11" s="63"/>
      <c r="D11" s="64"/>
      <c r="E11" s="64"/>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Y/HPGrCWp5Eo7W72ESH7Wz3BzlIlggtgERRHvuUkV+nu9hJVBH2QZV28yE4WzRnEvmbfbkUIPB/+/SInn1NYyA==" saltValue="f9FLnm1gVECzznxBo5dFC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67</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28</v>
      </c>
      <c r="C8" s="20"/>
      <c r="D8" s="20"/>
      <c r="E8" s="20"/>
      <c r="F8" s="69"/>
      <c r="G8" s="1"/>
    </row>
    <row r="9" spans="1:7" ht="17.25" customHeight="1" x14ac:dyDescent="0.25">
      <c r="A9" s="1"/>
      <c r="B9" s="65" t="s">
        <v>15</v>
      </c>
      <c r="C9" s="48" t="s">
        <v>10</v>
      </c>
      <c r="D9" s="66"/>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8" t="s">
        <v>94</v>
      </c>
      <c r="C16" s="10">
        <f>SUM(C10:C15)</f>
        <v>0</v>
      </c>
      <c r="D16" s="11" t="s">
        <v>3</v>
      </c>
      <c r="E16" s="10">
        <f>SUM(E10:E15)</f>
        <v>0</v>
      </c>
      <c r="F16" s="11" t="s">
        <v>3</v>
      </c>
      <c r="G16" s="1"/>
    </row>
    <row r="17" spans="1:7" x14ac:dyDescent="0.25">
      <c r="A17" s="1"/>
      <c r="B17" s="68" t="s">
        <v>106</v>
      </c>
      <c r="C17" s="10">
        <f>C16*(1+'Fane 12. Nøgletal'!C11)</f>
        <v>0</v>
      </c>
      <c r="D17" s="11" t="s">
        <v>3</v>
      </c>
      <c r="E17" s="10">
        <f>E16*(1+'Fane 12.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Gs1RqrL/49Us6UiTBJMzjdF1Spz1631nOKudNVapP3gH0sbZqiMTUkzREkiWOAJQk2kfVgekTUDk75yxOz0l0Q==" saltValue="88EntYXTS7PwzWx8IdVBb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68</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109</v>
      </c>
      <c r="C8" s="90"/>
      <c r="D8" s="90"/>
      <c r="E8" s="90"/>
      <c r="F8" s="91"/>
      <c r="G8" s="1"/>
    </row>
    <row r="9" spans="1:7" x14ac:dyDescent="0.25">
      <c r="A9" s="1"/>
      <c r="B9" s="65" t="s">
        <v>15</v>
      </c>
      <c r="C9" s="48" t="s">
        <v>10</v>
      </c>
      <c r="D9" s="66"/>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8" t="s">
        <v>107</v>
      </c>
      <c r="C15" s="10">
        <f>SUM(C10:C14)</f>
        <v>0</v>
      </c>
      <c r="D15" s="11" t="s">
        <v>3</v>
      </c>
      <c r="E15" s="10">
        <f>SUM(E10:E14)</f>
        <v>0</v>
      </c>
      <c r="F15" s="11" t="s">
        <v>3</v>
      </c>
      <c r="G15" s="1"/>
    </row>
    <row r="16" spans="1:7" x14ac:dyDescent="0.25">
      <c r="A16" s="1"/>
      <c r="B16" s="68" t="s">
        <v>108</v>
      </c>
      <c r="C16" s="10">
        <f>C15*(1+'Fane 12. Nøgletal'!C11)^2</f>
        <v>0</v>
      </c>
      <c r="D16" s="11" t="s">
        <v>3</v>
      </c>
      <c r="E16" s="10">
        <f>E15*(1+'Fane 12. Nøgletal'!C11)^2</f>
        <v>0</v>
      </c>
      <c r="F16" s="11" t="s">
        <v>3</v>
      </c>
      <c r="G16" s="1"/>
    </row>
    <row r="17" spans="1:7" x14ac:dyDescent="0.25">
      <c r="A17" s="1"/>
      <c r="B17" s="1"/>
      <c r="C17" s="1"/>
      <c r="D17" s="1"/>
      <c r="E17" s="1"/>
      <c r="F17" s="1"/>
      <c r="G17" s="1"/>
    </row>
    <row r="18" spans="1:7" x14ac:dyDescent="0.25">
      <c r="A18" s="1"/>
      <c r="B18" s="103"/>
      <c r="C18" s="103"/>
      <c r="D18" s="103"/>
      <c r="E18" s="103"/>
      <c r="F18" s="103"/>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3"/>
      <c r="C24" s="103"/>
      <c r="D24" s="103"/>
      <c r="E24" s="103"/>
      <c r="F24" s="103"/>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3"/>
      <c r="C31" s="103"/>
      <c r="D31" s="103"/>
      <c r="E31" s="103"/>
      <c r="F31" s="103"/>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lAu70gySlSX/tEySTdVXDXRTfHvAw/sWJp5FFrvEUSoeqBDcK5earsvuw9IM7m5rU6tGA1Uy4+SJ6dsk5MNX4Q==" saltValue="ycbBpbcQ5Jqm+xbHHvA/G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69</v>
      </c>
      <c r="C3" s="87"/>
      <c r="D3" s="87"/>
      <c r="E3" s="87"/>
      <c r="F3" s="87"/>
      <c r="G3" s="1"/>
    </row>
    <row r="4" spans="1:7" ht="15" customHeight="1" x14ac:dyDescent="0.25">
      <c r="A4" s="1"/>
      <c r="B4" s="87"/>
      <c r="C4" s="87"/>
      <c r="D4" s="87"/>
      <c r="E4" s="87"/>
      <c r="F4" s="87"/>
      <c r="G4" s="1"/>
    </row>
    <row r="5" spans="1:7" x14ac:dyDescent="0.25">
      <c r="A5" s="1"/>
      <c r="B5" s="87"/>
      <c r="C5" s="87"/>
      <c r="D5" s="87"/>
      <c r="E5" s="87"/>
      <c r="F5" s="87"/>
      <c r="G5" s="1"/>
    </row>
    <row r="6" spans="1:7" x14ac:dyDescent="0.25">
      <c r="A6" s="1"/>
      <c r="B6" s="1"/>
      <c r="C6" s="1"/>
      <c r="D6" s="1"/>
      <c r="E6" s="1"/>
      <c r="F6" s="1"/>
      <c r="G6" s="1"/>
    </row>
    <row r="7" spans="1:7" x14ac:dyDescent="0.25">
      <c r="A7" s="1"/>
      <c r="B7" s="1"/>
      <c r="C7" s="1"/>
      <c r="D7" s="1"/>
      <c r="E7" s="1"/>
      <c r="F7" s="1"/>
      <c r="G7" s="1"/>
    </row>
    <row r="8" spans="1:7" x14ac:dyDescent="0.25">
      <c r="A8" s="1"/>
      <c r="B8" s="89" t="s">
        <v>48</v>
      </c>
      <c r="C8" s="90"/>
      <c r="D8" s="90"/>
      <c r="E8" s="90"/>
      <c r="F8" s="91"/>
      <c r="G8" s="1"/>
    </row>
    <row r="9" spans="1:7" ht="15" customHeight="1" x14ac:dyDescent="0.25">
      <c r="A9" s="1"/>
      <c r="B9" s="25" t="s">
        <v>49</v>
      </c>
      <c r="C9" s="104" t="s">
        <v>10</v>
      </c>
      <c r="D9" s="105"/>
      <c r="E9" s="104" t="s">
        <v>22</v>
      </c>
      <c r="F9" s="105"/>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12. Nøgletal'!C11)</f>
        <v>0</v>
      </c>
      <c r="D12" s="11" t="s">
        <v>3</v>
      </c>
      <c r="E12" s="10">
        <f>E11*(1+'Fane 12.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DYJwYdIH+oIZZKaZ6HybABixdALYXSBGO/l6KglncOC/343euk3xX+T02U/bRiNeASyke5WNy6pEBN/bX1L2TA==" saltValue="5kCo6WRP1UkZ1037zlXJt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4B44-2042-44BF-ADCC-2CE98D67962A}">
  <sheetPr codeName="Ark16"/>
  <dimension ref="A1:G51"/>
  <sheetViews>
    <sheetView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7" t="s">
        <v>138</v>
      </c>
      <c r="C3" s="87"/>
      <c r="D3" s="87"/>
      <c r="E3" s="1"/>
    </row>
    <row r="4" spans="1:5" ht="15" customHeight="1" x14ac:dyDescent="0.25">
      <c r="A4" s="1"/>
      <c r="B4" s="87"/>
      <c r="C4" s="87"/>
      <c r="D4" s="87"/>
      <c r="E4" s="1"/>
    </row>
    <row r="5" spans="1:5" x14ac:dyDescent="0.25">
      <c r="A5" s="1"/>
      <c r="B5" s="87"/>
      <c r="C5" s="87"/>
      <c r="D5" s="87"/>
      <c r="E5" s="1"/>
    </row>
    <row r="6" spans="1:5" x14ac:dyDescent="0.25">
      <c r="A6" s="1"/>
      <c r="B6" s="1"/>
      <c r="C6" s="1"/>
      <c r="D6" s="1"/>
      <c r="E6" s="1"/>
    </row>
    <row r="7" spans="1:5" x14ac:dyDescent="0.25">
      <c r="A7" s="1"/>
      <c r="B7" s="1"/>
      <c r="C7" s="1"/>
      <c r="D7" s="1"/>
      <c r="E7" s="1"/>
    </row>
    <row r="8" spans="1:5" x14ac:dyDescent="0.25">
      <c r="A8" s="1"/>
      <c r="B8" s="68" t="s">
        <v>139</v>
      </c>
      <c r="C8" s="20"/>
      <c r="D8" s="69"/>
      <c r="E8" s="1"/>
    </row>
    <row r="9" spans="1:5" ht="15" customHeight="1" x14ac:dyDescent="0.25">
      <c r="A9" s="1"/>
      <c r="B9" s="19" t="s">
        <v>145</v>
      </c>
      <c r="C9" s="18">
        <v>7744.3001457083601</v>
      </c>
      <c r="D9" s="56" t="s">
        <v>3</v>
      </c>
      <c r="E9" s="55"/>
    </row>
    <row r="10" spans="1:5" x14ac:dyDescent="0.25">
      <c r="A10" s="1"/>
      <c r="B10" s="57" t="s">
        <v>36</v>
      </c>
      <c r="C10" s="18">
        <f>-C9*'Fane 12. Nøgletal'!C16</f>
        <v>-131.65310247704213</v>
      </c>
      <c r="D10" s="56" t="s">
        <v>3</v>
      </c>
      <c r="E10" s="1"/>
    </row>
    <row r="11" spans="1:5" x14ac:dyDescent="0.25">
      <c r="A11" s="1"/>
      <c r="B11" s="68" t="s">
        <v>140</v>
      </c>
      <c r="C11" s="58">
        <f>SUM(C9:C10)*(1+'Fane 12. Nøgletal'!C11)^2</f>
        <v>8655.5468776452526</v>
      </c>
      <c r="D11" s="46" t="s">
        <v>3</v>
      </c>
      <c r="E11" s="1"/>
    </row>
    <row r="12" spans="1:5" x14ac:dyDescent="0.25">
      <c r="A12" s="1"/>
      <c r="B12" s="59"/>
      <c r="C12" s="59"/>
      <c r="D12" s="59"/>
      <c r="E12" s="1"/>
    </row>
    <row r="13" spans="1:5" x14ac:dyDescent="0.25">
      <c r="A13" s="1"/>
      <c r="B13" s="68" t="s">
        <v>141</v>
      </c>
      <c r="C13" s="20"/>
      <c r="D13" s="69"/>
      <c r="E13" s="1"/>
    </row>
    <row r="14" spans="1:5" ht="15" customHeight="1" x14ac:dyDescent="0.25">
      <c r="A14" s="1"/>
      <c r="B14" s="19" t="s">
        <v>145</v>
      </c>
      <c r="C14" s="18">
        <v>7744.3001457083601</v>
      </c>
      <c r="D14" s="56" t="s">
        <v>3</v>
      </c>
      <c r="E14" s="1"/>
    </row>
    <row r="15" spans="1:5" x14ac:dyDescent="0.25">
      <c r="A15" s="1"/>
      <c r="B15" s="57" t="s">
        <v>36</v>
      </c>
      <c r="C15" s="18">
        <f>-C14*'Fane 12. Nøgletal'!C16</f>
        <v>-131.65310247704213</v>
      </c>
      <c r="D15" s="56" t="s">
        <v>3</v>
      </c>
      <c r="E15" s="1"/>
    </row>
    <row r="16" spans="1:5" x14ac:dyDescent="0.25">
      <c r="A16" s="1"/>
      <c r="B16" s="68" t="s">
        <v>142</v>
      </c>
      <c r="C16" s="58">
        <f>SUM(C14:C15)*(1+'Fane 12. Nøgletal'!C11)^3</f>
        <v>9229.4096356331338</v>
      </c>
      <c r="D16" s="46" t="s">
        <v>3</v>
      </c>
      <c r="E16" s="1"/>
    </row>
    <row r="17" spans="1:5" x14ac:dyDescent="0.25">
      <c r="A17" s="1"/>
      <c r="B17" s="59"/>
      <c r="C17" s="59"/>
      <c r="D17" s="59"/>
      <c r="E17" s="1"/>
    </row>
    <row r="18" spans="1:5" x14ac:dyDescent="0.25">
      <c r="A18" s="1"/>
      <c r="B18" s="68" t="s">
        <v>143</v>
      </c>
      <c r="C18" s="20"/>
      <c r="D18" s="69"/>
      <c r="E18" s="1"/>
    </row>
    <row r="19" spans="1:5" ht="15" customHeight="1" x14ac:dyDescent="0.25">
      <c r="A19" s="1"/>
      <c r="B19" s="19" t="s">
        <v>145</v>
      </c>
      <c r="C19" s="18">
        <v>7744.3001457083601</v>
      </c>
      <c r="D19" s="56" t="s">
        <v>3</v>
      </c>
      <c r="E19" s="1"/>
    </row>
    <row r="20" spans="1:5" x14ac:dyDescent="0.25">
      <c r="A20" s="1"/>
      <c r="B20" s="57" t="s">
        <v>36</v>
      </c>
      <c r="C20" s="18">
        <f>-C19*'Fane 12. Nøgletal'!C16</f>
        <v>-131.65310247704213</v>
      </c>
      <c r="D20" s="56" t="s">
        <v>3</v>
      </c>
      <c r="E20" s="1"/>
    </row>
    <row r="21" spans="1:5" x14ac:dyDescent="0.25">
      <c r="A21" s="1"/>
      <c r="B21" s="68" t="s">
        <v>144</v>
      </c>
      <c r="C21" s="58">
        <f>SUM(C19:C20)*(1+'Fane 12. Nøgletal'!C11)^4</f>
        <v>9841.3194944756087</v>
      </c>
      <c r="D21" s="46" t="s">
        <v>3</v>
      </c>
      <c r="E21" s="1"/>
    </row>
    <row r="22" spans="1:5" x14ac:dyDescent="0.25">
      <c r="A22" s="1"/>
      <c r="B22" s="59"/>
      <c r="C22" s="59"/>
      <c r="D22" s="59"/>
      <c r="E22" s="1"/>
    </row>
    <row r="23" spans="1:5" x14ac:dyDescent="0.25">
      <c r="A23" s="1"/>
      <c r="B23" s="68" t="s">
        <v>146</v>
      </c>
      <c r="C23" s="20"/>
      <c r="D23" s="69"/>
      <c r="E23" s="1"/>
    </row>
    <row r="24" spans="1:5" ht="15" customHeight="1" x14ac:dyDescent="0.25">
      <c r="A24" s="1"/>
      <c r="B24" s="19" t="s">
        <v>145</v>
      </c>
      <c r="C24" s="18">
        <v>7744.3001457083601</v>
      </c>
      <c r="D24" s="56" t="s">
        <v>3</v>
      </c>
      <c r="E24" s="1"/>
    </row>
    <row r="25" spans="1:5" x14ac:dyDescent="0.25">
      <c r="A25" s="1"/>
      <c r="B25" s="57" t="s">
        <v>36</v>
      </c>
      <c r="C25" s="18">
        <f>-C24*'Fane 12. Nøgletal'!C16</f>
        <v>-131.65310247704213</v>
      </c>
      <c r="D25" s="56" t="s">
        <v>3</v>
      </c>
      <c r="E25" s="1"/>
    </row>
    <row r="26" spans="1:5" x14ac:dyDescent="0.25">
      <c r="A26" s="1"/>
      <c r="B26" s="68" t="s">
        <v>147</v>
      </c>
      <c r="C26" s="58">
        <f>SUM(C24:C25)*(1+'Fane 12. Nøgletal'!C11)^5</f>
        <v>10493.798976959342</v>
      </c>
      <c r="D26" s="46" t="s">
        <v>3</v>
      </c>
      <c r="E26" s="1"/>
    </row>
    <row r="27" spans="1:5" x14ac:dyDescent="0.25">
      <c r="A27" s="1"/>
      <c r="B27" s="1"/>
      <c r="C27" s="1"/>
      <c r="D27" s="1"/>
      <c r="E27" s="1"/>
    </row>
    <row r="28" spans="1:5" x14ac:dyDescent="0.25">
      <c r="A28" s="1"/>
      <c r="B28" s="1"/>
      <c r="C28" s="1"/>
      <c r="D28" s="1"/>
      <c r="E28" s="1"/>
    </row>
    <row r="29" spans="1:5" x14ac:dyDescent="0.25">
      <c r="A29" s="1"/>
      <c r="B29" s="28"/>
      <c r="C29" s="28"/>
      <c r="D29" s="28"/>
      <c r="E29" s="1"/>
    </row>
    <row r="30" spans="1:5" x14ac:dyDescent="0.25">
      <c r="A30" s="1"/>
      <c r="B30" s="103"/>
      <c r="C30" s="103"/>
      <c r="D30" s="103"/>
      <c r="E30" s="1"/>
    </row>
    <row r="31" spans="1:5" x14ac:dyDescent="0.25">
      <c r="A31" s="1"/>
      <c r="B31" s="29"/>
      <c r="C31" s="29"/>
      <c r="D31" s="30"/>
      <c r="E31" s="1"/>
    </row>
    <row r="32" spans="1:5" x14ac:dyDescent="0.25">
      <c r="A32" s="1"/>
      <c r="B32" s="31"/>
      <c r="C32" s="32"/>
      <c r="D32" s="33"/>
      <c r="E32" s="1"/>
    </row>
    <row r="33" spans="1:5" x14ac:dyDescent="0.25">
      <c r="A33" s="1"/>
      <c r="B33" s="31"/>
      <c r="C33" s="32"/>
      <c r="D33" s="33"/>
      <c r="E33" s="1"/>
    </row>
    <row r="34" spans="1:5" x14ac:dyDescent="0.25">
      <c r="A34" s="1"/>
      <c r="B34" s="34"/>
      <c r="C34" s="35"/>
      <c r="D34" s="36"/>
      <c r="E34" s="1"/>
    </row>
    <row r="35" spans="1:5" x14ac:dyDescent="0.25">
      <c r="A35" s="1"/>
      <c r="B35" s="34"/>
      <c r="C35" s="35"/>
      <c r="D35" s="36"/>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sheetData>
  <sheetProtection algorithmName="SHA-512" hashValue="DGj7pSnnIkredBbDyCALcJfaHLuOkY+hHyXCvAy2voSSLFQk/+JJPf0bVs+rQ7RkpdDRvkLUCV9fOBXORYV4hA==" saltValue="XI4nZIgDwVCA8ELpMttAzw==" spinCount="100000" sheet="1" objects="1" scenarios="1"/>
  <mergeCells count="2">
    <mergeCell ref="B30:D30"/>
    <mergeCell ref="B3: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70</v>
      </c>
      <c r="C3" s="87"/>
      <c r="D3" s="87"/>
      <c r="E3" s="87"/>
      <c r="F3" s="87"/>
      <c r="G3" s="1"/>
    </row>
    <row r="4" spans="1:7" ht="15" customHeight="1" x14ac:dyDescent="0.25">
      <c r="A4" s="1"/>
      <c r="B4" s="87"/>
      <c r="C4" s="87"/>
      <c r="D4" s="87"/>
      <c r="E4" s="87"/>
      <c r="F4" s="87"/>
      <c r="G4" s="1"/>
    </row>
    <row r="5" spans="1:7" x14ac:dyDescent="0.25">
      <c r="A5" s="1"/>
      <c r="B5" s="87"/>
      <c r="C5" s="87"/>
      <c r="D5" s="87"/>
      <c r="E5" s="87"/>
      <c r="F5" s="8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9" t="s">
        <v>111</v>
      </c>
      <c r="C8" s="90"/>
      <c r="D8" s="90"/>
      <c r="E8" s="90"/>
      <c r="F8" s="91"/>
      <c r="G8" s="1"/>
    </row>
    <row r="9" spans="1:7" x14ac:dyDescent="0.25">
      <c r="A9" s="1"/>
      <c r="B9" s="25" t="s">
        <v>16</v>
      </c>
      <c r="C9" s="67" t="s">
        <v>10</v>
      </c>
      <c r="D9" s="26"/>
      <c r="E9" s="67" t="s">
        <v>22</v>
      </c>
      <c r="F9" s="26"/>
      <c r="G9" s="1"/>
    </row>
    <row r="10" spans="1:7" x14ac:dyDescent="0.25">
      <c r="A10" s="1"/>
      <c r="B10" s="52" t="s">
        <v>136</v>
      </c>
      <c r="C10" s="8">
        <v>0</v>
      </c>
      <c r="D10" s="12" t="s">
        <v>3</v>
      </c>
      <c r="E10" s="8">
        <v>0</v>
      </c>
      <c r="F10" s="12" t="s">
        <v>3</v>
      </c>
      <c r="G10" s="1"/>
    </row>
    <row r="11" spans="1:7" x14ac:dyDescent="0.25">
      <c r="A11" s="1"/>
      <c r="B11" s="68" t="s">
        <v>91</v>
      </c>
      <c r="C11" s="10">
        <f>SUM(C10:C10)</f>
        <v>0</v>
      </c>
      <c r="D11" s="11" t="s">
        <v>3</v>
      </c>
      <c r="E11" s="10">
        <f>SUM(E10:E10)</f>
        <v>0</v>
      </c>
      <c r="F11" s="11" t="s">
        <v>3</v>
      </c>
      <c r="G11" s="1"/>
    </row>
    <row r="12" spans="1:7" x14ac:dyDescent="0.25">
      <c r="A12" s="1"/>
      <c r="B12" s="68" t="s">
        <v>133</v>
      </c>
      <c r="C12" s="10">
        <f>C11*(1+'Fane 12. Nøgletal'!C11)^2</f>
        <v>0</v>
      </c>
      <c r="D12" s="11" t="s">
        <v>3</v>
      </c>
      <c r="E12" s="10">
        <f>E11*(1+'Fane 12. Nøgletal'!C11)^2</f>
        <v>0</v>
      </c>
      <c r="F12" s="11" t="s">
        <v>3</v>
      </c>
      <c r="G12" s="1"/>
    </row>
    <row r="13" spans="1:7" x14ac:dyDescent="0.25">
      <c r="A13" s="1"/>
      <c r="B13" s="1"/>
      <c r="C13" s="1"/>
      <c r="D13" s="1"/>
      <c r="E13" s="1"/>
      <c r="F13" s="1"/>
      <c r="G13" s="1"/>
    </row>
    <row r="14" spans="1:7" x14ac:dyDescent="0.25">
      <c r="A14" s="1"/>
      <c r="B14" s="103"/>
      <c r="C14" s="103"/>
      <c r="D14" s="103"/>
      <c r="E14" s="103"/>
      <c r="F14" s="103"/>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3"/>
      <c r="C20" s="103"/>
      <c r="D20" s="103"/>
      <c r="E20" s="103"/>
      <c r="F20" s="103"/>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3"/>
      <c r="C26" s="103"/>
      <c r="D26" s="103"/>
      <c r="E26" s="103"/>
      <c r="F26" s="103"/>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WU2fzhZfCgz6GV+p+HZ7WXOCmd4Nu8a8EUfX40u0a2RWxZBGhUS8LJlWt8VujfUv7b6TOQfcsflzdfxsdcr6UQ==" saltValue="RnYrR2HlAZPenh2m1Wv7B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7" t="s">
        <v>71</v>
      </c>
      <c r="C3" s="87"/>
      <c r="D3" s="1"/>
    </row>
    <row r="4" spans="1:4" ht="1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43" t="s">
        <v>131</v>
      </c>
      <c r="C9" s="23">
        <v>3.56E-2</v>
      </c>
      <c r="D9" s="1"/>
    </row>
    <row r="10" spans="1:4" x14ac:dyDescent="0.25">
      <c r="A10" s="1"/>
      <c r="B10" s="43" t="s">
        <v>93</v>
      </c>
      <c r="C10" s="23">
        <v>8.0799999999999997E-2</v>
      </c>
      <c r="D10" s="1"/>
    </row>
    <row r="11" spans="1:4" x14ac:dyDescent="0.25">
      <c r="A11" s="1"/>
      <c r="B11" s="43" t="s">
        <v>132</v>
      </c>
      <c r="C11" s="23">
        <v>6.6299999999999998E-2</v>
      </c>
      <c r="D11" s="1"/>
    </row>
    <row r="12" spans="1:4" x14ac:dyDescent="0.25">
      <c r="A12" s="1"/>
      <c r="B12" s="68"/>
      <c r="C12" s="69"/>
      <c r="D12" s="1"/>
    </row>
    <row r="13" spans="1:4" x14ac:dyDescent="0.25">
      <c r="A13" s="1"/>
      <c r="B13" s="1"/>
      <c r="C13" s="1"/>
      <c r="D13" s="1"/>
    </row>
    <row r="14" spans="1:4" x14ac:dyDescent="0.25">
      <c r="A14" s="1"/>
      <c r="B14" s="1"/>
      <c r="C14" s="1"/>
      <c r="D14" s="1"/>
    </row>
    <row r="15" spans="1:4" x14ac:dyDescent="0.25">
      <c r="A15" s="1"/>
      <c r="B15" s="68" t="s">
        <v>36</v>
      </c>
      <c r="C15" s="69"/>
      <c r="D15" s="1"/>
    </row>
    <row r="16" spans="1:4" x14ac:dyDescent="0.25">
      <c r="A16" s="1"/>
      <c r="B16" s="21" t="s">
        <v>40</v>
      </c>
      <c r="C16" s="42">
        <v>1.7000000000000001E-2</v>
      </c>
      <c r="D16" s="1"/>
    </row>
    <row r="17" spans="1:4" x14ac:dyDescent="0.25">
      <c r="A17" s="1"/>
      <c r="B17" s="106"/>
      <c r="C17" s="107"/>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xPqqoH0A5/RqZD6UK1e60tAo6ipLU1XZz1ndXB0chU+UVLFjZJ76VS3lTq4Fspin5pCSBD1qIIwhxX6bx8SmEg==" saltValue="KM9KZL/8gh8jZ2XLX1FWw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51"/>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5" t="s">
        <v>95</v>
      </c>
      <c r="C3" s="85"/>
      <c r="D3" s="85"/>
      <c r="E3" s="1"/>
    </row>
    <row r="4" spans="1:5" ht="15" customHeight="1" x14ac:dyDescent="0.25">
      <c r="A4" s="1"/>
      <c r="B4" s="85"/>
      <c r="C4" s="85"/>
      <c r="D4" s="8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1593126.3772653274</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11. Bortfald'!C12+'Fane 11.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12. Nøgletal'!C11</f>
        <v>105624.27881269121</v>
      </c>
      <c r="D13" s="44" t="s">
        <v>3</v>
      </c>
      <c r="E13" s="1"/>
    </row>
    <row r="14" spans="1:5" ht="17.100000000000001" customHeight="1" x14ac:dyDescent="0.25">
      <c r="A14" s="1"/>
      <c r="B14" s="22" t="s">
        <v>36</v>
      </c>
      <c r="C14" s="8">
        <f>-SUM(C9,C10:C13)*'Fane 12. Nøgletal'!C16</f>
        <v>-28878.761153326315</v>
      </c>
      <c r="D14" s="44" t="s">
        <v>3</v>
      </c>
      <c r="E14" s="1"/>
    </row>
    <row r="15" spans="1:5" ht="15" customHeight="1" x14ac:dyDescent="0.25">
      <c r="A15" s="1"/>
      <c r="B15" s="41" t="s">
        <v>19</v>
      </c>
      <c r="C15" s="9">
        <f>SUM(C9,C10:C14)</f>
        <v>1669871.8949246921</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11661.027796640001</v>
      </c>
      <c r="D17" s="47" t="s">
        <v>3</v>
      </c>
      <c r="E17" s="1"/>
    </row>
    <row r="18" spans="1:5" ht="15" customHeight="1" x14ac:dyDescent="0.25">
      <c r="A18" s="1"/>
      <c r="B18" s="46" t="s">
        <v>149</v>
      </c>
      <c r="C18" s="46"/>
      <c r="D18" s="46"/>
      <c r="E18" s="1"/>
    </row>
    <row r="19" spans="1:5" ht="15" customHeight="1" x14ac:dyDescent="0.25">
      <c r="A19" s="1"/>
      <c r="B19" s="41" t="s">
        <v>149</v>
      </c>
      <c r="C19" s="9">
        <f>'Fane 10. Periodevise driftsomk.'!C11</f>
        <v>8655.5468776452526</v>
      </c>
      <c r="D19" s="47" t="s">
        <v>3</v>
      </c>
      <c r="E19" s="1"/>
    </row>
    <row r="20" spans="1:5" ht="15" customHeight="1" x14ac:dyDescent="0.25">
      <c r="A20" s="1"/>
      <c r="B20" s="46" t="s">
        <v>32</v>
      </c>
      <c r="C20" s="46"/>
      <c r="D20" s="46"/>
      <c r="E20" s="1"/>
    </row>
    <row r="21" spans="1:5" ht="15" customHeight="1" x14ac:dyDescent="0.25">
      <c r="A21" s="1"/>
      <c r="B21" s="22" t="s">
        <v>29</v>
      </c>
      <c r="C21" s="8">
        <f>'Fane 8.2. Engangstillæg'!C16</f>
        <v>0</v>
      </c>
      <c r="D21" s="44" t="s">
        <v>3</v>
      </c>
      <c r="E21" s="1"/>
    </row>
    <row r="22" spans="1:5" x14ac:dyDescent="0.25">
      <c r="A22" s="1"/>
      <c r="B22" s="22" t="s">
        <v>30</v>
      </c>
      <c r="C22" s="8">
        <f>'Fane 8.2. Engangstillæg'!E16</f>
        <v>0</v>
      </c>
      <c r="D22" s="44" t="s">
        <v>3</v>
      </c>
      <c r="E22" s="1"/>
    </row>
    <row r="23" spans="1:5" x14ac:dyDescent="0.25">
      <c r="A23" s="1"/>
      <c r="B23" s="22" t="s">
        <v>61</v>
      </c>
      <c r="C23" s="8">
        <f>-SUM(C21:C22)*'Fane 12. Nøgletal'!C16</f>
        <v>0</v>
      </c>
      <c r="D23" s="44" t="s">
        <v>3</v>
      </c>
      <c r="E23" s="1"/>
    </row>
    <row r="24" spans="1:5" ht="15" customHeight="1" x14ac:dyDescent="0.25">
      <c r="A24" s="1"/>
      <c r="B24" s="41" t="s">
        <v>33</v>
      </c>
      <c r="C24" s="9">
        <f>SUM(C21:C23)</f>
        <v>0</v>
      </c>
      <c r="D24" s="47" t="s">
        <v>3</v>
      </c>
      <c r="E24" s="1"/>
    </row>
    <row r="25" spans="1:5" x14ac:dyDescent="0.25">
      <c r="A25" s="1"/>
      <c r="B25" s="46" t="s">
        <v>50</v>
      </c>
      <c r="C25" s="46"/>
      <c r="D25" s="46"/>
      <c r="E25" s="1"/>
    </row>
    <row r="26" spans="1:5" x14ac:dyDescent="0.25">
      <c r="A26" s="1"/>
      <c r="B26" s="41" t="s">
        <v>51</v>
      </c>
      <c r="C26" s="9">
        <f>'Fane 5. Kontrol af ØR2023'!C30</f>
        <v>-5234.9365302285878</v>
      </c>
      <c r="D26" s="47" t="s">
        <v>3</v>
      </c>
      <c r="E26" s="1"/>
    </row>
    <row r="27" spans="1:5" x14ac:dyDescent="0.25">
      <c r="A27" s="1"/>
      <c r="B27" s="46" t="s">
        <v>56</v>
      </c>
      <c r="C27" s="46"/>
      <c r="D27" s="46"/>
      <c r="E27" s="1"/>
    </row>
    <row r="28" spans="1:5" x14ac:dyDescent="0.25">
      <c r="A28" s="1"/>
      <c r="B28" s="47" t="s">
        <v>57</v>
      </c>
      <c r="C28" s="9">
        <f>'Fane 6. Skattesagen'!C14</f>
        <v>0</v>
      </c>
      <c r="D28" s="47" t="s">
        <v>3</v>
      </c>
      <c r="E28" s="1"/>
    </row>
    <row r="29" spans="1:5" x14ac:dyDescent="0.25">
      <c r="A29" s="1"/>
      <c r="B29" s="46" t="s">
        <v>53</v>
      </c>
      <c r="C29" s="10">
        <f>SUM(C15,C17,C19,C24,C26,C28)</f>
        <v>1684953.5330687487</v>
      </c>
      <c r="D29" s="11" t="s">
        <v>3</v>
      </c>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sheetData>
  <sheetProtection algorithmName="SHA-512" hashValue="QgwuNby0zBvRYqB3BtBs2ZmsYY5Pa73joSX5SXPS5IP2YmPh26oS74G6eb0AM1bTt5LcX3sqhwCMntqcFkOEJA==" saltValue="64olfJ9oVtZBmmgtmNo5L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2"/>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5" t="s">
        <v>96</v>
      </c>
      <c r="C3" s="85"/>
      <c r="D3" s="85"/>
      <c r="E3" s="1"/>
    </row>
    <row r="4" spans="1:5" ht="15" customHeight="1" x14ac:dyDescent="0.25">
      <c r="A4" s="1"/>
      <c r="B4" s="85"/>
      <c r="C4" s="85"/>
      <c r="D4" s="85"/>
      <c r="E4" s="1"/>
    </row>
    <row r="5" spans="1:5" x14ac:dyDescent="0.25">
      <c r="A5" s="1"/>
      <c r="B5" s="86"/>
      <c r="C5" s="86"/>
      <c r="D5" s="86"/>
      <c r="E5" s="1"/>
    </row>
    <row r="6" spans="1:5" x14ac:dyDescent="0.25">
      <c r="A6" s="1"/>
      <c r="B6" s="60"/>
      <c r="C6" s="60"/>
      <c r="D6" s="60"/>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1669871.8949246921</v>
      </c>
      <c r="D9" s="44" t="s">
        <v>3</v>
      </c>
      <c r="E9" s="1"/>
    </row>
    <row r="10" spans="1:5" ht="15" customHeight="1" x14ac:dyDescent="0.25">
      <c r="A10" s="1"/>
      <c r="B10" s="24" t="s">
        <v>17</v>
      </c>
      <c r="C10" s="7">
        <f>C9*'Fane 12. Nøgletal'!C11</f>
        <v>110712.50663350709</v>
      </c>
      <c r="D10" s="44" t="s">
        <v>3</v>
      </c>
      <c r="E10" s="1"/>
    </row>
    <row r="11" spans="1:5" ht="15" customHeight="1" x14ac:dyDescent="0.25">
      <c r="A11" s="1"/>
      <c r="B11" s="24" t="s">
        <v>36</v>
      </c>
      <c r="C11" s="7">
        <f>-SUM(C9:C10)*'Fane 12. Nøgletal'!C16</f>
        <v>-30269.934826489389</v>
      </c>
      <c r="D11" s="44" t="s">
        <v>3</v>
      </c>
      <c r="E11" s="1"/>
    </row>
    <row r="12" spans="1:5" ht="15" customHeight="1" x14ac:dyDescent="0.25">
      <c r="A12" s="1"/>
      <c r="B12" s="51" t="s">
        <v>19</v>
      </c>
      <c r="C12" s="9">
        <f>SUM(C9:C11)</f>
        <v>1750314.4667317099</v>
      </c>
      <c r="D12" s="47" t="s">
        <v>3</v>
      </c>
      <c r="E12" s="1"/>
    </row>
    <row r="13" spans="1:5" x14ac:dyDescent="0.25">
      <c r="A13" s="1"/>
      <c r="B13" s="46" t="s">
        <v>11</v>
      </c>
      <c r="C13" s="46"/>
      <c r="D13" s="46"/>
      <c r="E13" s="1"/>
    </row>
    <row r="14" spans="1:5" ht="15" customHeight="1" x14ac:dyDescent="0.25">
      <c r="A14" s="1"/>
      <c r="B14" s="47" t="s">
        <v>11</v>
      </c>
      <c r="C14" s="9">
        <f>'Fane 4. Ikke-påvirkelige omk.'!C19*(1+'Fane 12. Nøgletal'!C11)</f>
        <v>12434.153939557233</v>
      </c>
      <c r="D14" s="47" t="s">
        <v>3</v>
      </c>
      <c r="E14" s="1"/>
    </row>
    <row r="15" spans="1:5" ht="15" customHeight="1" x14ac:dyDescent="0.25">
      <c r="A15" s="1"/>
      <c r="B15" s="46" t="s">
        <v>149</v>
      </c>
      <c r="C15" s="46"/>
      <c r="D15" s="46"/>
      <c r="E15" s="1"/>
    </row>
    <row r="16" spans="1:5" ht="15" customHeight="1" x14ac:dyDescent="0.25">
      <c r="A16" s="1"/>
      <c r="B16" s="41" t="s">
        <v>149</v>
      </c>
      <c r="C16" s="9">
        <f>'Fane 10. Periodevise driftsomk.'!C16</f>
        <v>9229.4096356331338</v>
      </c>
      <c r="D16" s="47" t="s">
        <v>3</v>
      </c>
      <c r="E16" s="1"/>
    </row>
    <row r="17" spans="1:5" x14ac:dyDescent="0.25">
      <c r="A17" s="1"/>
      <c r="B17" s="46" t="s">
        <v>50</v>
      </c>
      <c r="C17" s="46"/>
      <c r="D17" s="46"/>
      <c r="E17" s="1"/>
    </row>
    <row r="18" spans="1:5" x14ac:dyDescent="0.25">
      <c r="A18" s="1"/>
      <c r="B18" s="47" t="s">
        <v>51</v>
      </c>
      <c r="C18" s="9">
        <f>'Fane 5. Kontrol af ØR2023'!C30</f>
        <v>-5234.9365302285878</v>
      </c>
      <c r="D18" s="47" t="s">
        <v>3</v>
      </c>
      <c r="E18" s="1"/>
    </row>
    <row r="19" spans="1:5" x14ac:dyDescent="0.25">
      <c r="A19" s="1"/>
      <c r="B19" s="46" t="s">
        <v>56</v>
      </c>
      <c r="C19" s="46"/>
      <c r="D19" s="46"/>
      <c r="E19" s="1"/>
    </row>
    <row r="20" spans="1:5" x14ac:dyDescent="0.25">
      <c r="A20" s="1"/>
      <c r="B20" s="47" t="s">
        <v>57</v>
      </c>
      <c r="C20" s="9">
        <f>'Fane 6. Skattesagen'!C15</f>
        <v>0</v>
      </c>
      <c r="D20" s="47" t="s">
        <v>3</v>
      </c>
      <c r="E20" s="1"/>
    </row>
    <row r="21" spans="1:5" x14ac:dyDescent="0.25">
      <c r="A21" s="1"/>
      <c r="B21" s="46" t="s">
        <v>59</v>
      </c>
      <c r="C21" s="10">
        <f>SUM(C12,C14,C16,C18,C20)</f>
        <v>1766743.0937766717</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WwNN2Vlmz8jgTKG525bsUftmb1RvS4CBhJfkfYyd+AhYp9anl5mEX2/aMPdlhTtV2jRqDpLo2B445lYOi3Ooow==" saltValue="tAgua7SF8gZvvbzWROamX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2"/>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5" t="s">
        <v>97</v>
      </c>
      <c r="C3" s="85"/>
      <c r="D3" s="85"/>
      <c r="E3" s="1"/>
    </row>
    <row r="4" spans="1:5" ht="15" customHeight="1" x14ac:dyDescent="0.25">
      <c r="A4" s="1"/>
      <c r="B4" s="85"/>
      <c r="C4" s="85"/>
      <c r="D4" s="85"/>
      <c r="E4" s="1"/>
    </row>
    <row r="5" spans="1:5" x14ac:dyDescent="0.25">
      <c r="A5" s="1"/>
      <c r="B5" s="86" t="s">
        <v>20</v>
      </c>
      <c r="C5" s="86"/>
      <c r="D5" s="86"/>
      <c r="E5" s="1"/>
    </row>
    <row r="6" spans="1:5" x14ac:dyDescent="0.25">
      <c r="A6" s="1"/>
      <c r="B6" s="60"/>
      <c r="C6" s="60"/>
      <c r="D6" s="60"/>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1750314.4667317099</v>
      </c>
      <c r="D9" s="44" t="s">
        <v>3</v>
      </c>
      <c r="E9" s="1"/>
    </row>
    <row r="10" spans="1:5" ht="15" customHeight="1" x14ac:dyDescent="0.25">
      <c r="A10" s="1"/>
      <c r="B10" s="24" t="s">
        <v>17</v>
      </c>
      <c r="C10" s="7">
        <f>C9*'Fane 12. Nøgletal'!C11</f>
        <v>116045.84914431236</v>
      </c>
      <c r="D10" s="44" t="s">
        <v>3</v>
      </c>
      <c r="E10" s="1"/>
    </row>
    <row r="11" spans="1:5" ht="15" customHeight="1" x14ac:dyDescent="0.25">
      <c r="A11" s="1"/>
      <c r="B11" s="24" t="s">
        <v>36</v>
      </c>
      <c r="C11" s="7">
        <f>-SUM(C9:C10)*'Fane 12. Nøgletal'!C16</f>
        <v>-31728.125369892379</v>
      </c>
      <c r="D11" s="44" t="s">
        <v>3</v>
      </c>
      <c r="E11" s="1"/>
    </row>
    <row r="12" spans="1:5" x14ac:dyDescent="0.25">
      <c r="A12" s="1"/>
      <c r="B12" s="51" t="s">
        <v>19</v>
      </c>
      <c r="C12" s="9">
        <f>SUM(C9:C11)</f>
        <v>1834632.1905061298</v>
      </c>
      <c r="D12" s="47" t="s">
        <v>3</v>
      </c>
      <c r="E12" s="1"/>
    </row>
    <row r="13" spans="1:5" x14ac:dyDescent="0.25">
      <c r="A13" s="1"/>
      <c r="B13" s="46" t="s">
        <v>11</v>
      </c>
      <c r="C13" s="46"/>
      <c r="D13" s="46"/>
      <c r="E13" s="1"/>
    </row>
    <row r="14" spans="1:5" ht="15" customHeight="1" x14ac:dyDescent="0.25">
      <c r="A14" s="1"/>
      <c r="B14" s="47" t="s">
        <v>11</v>
      </c>
      <c r="C14" s="9">
        <f>'Fane 4. Ikke-påvirkelige omk.'!C19*(1+'Fane 12. Nøgletal'!C11)^2</f>
        <v>13258.538345749877</v>
      </c>
      <c r="D14" s="47" t="s">
        <v>3</v>
      </c>
      <c r="E14" s="1"/>
    </row>
    <row r="15" spans="1:5" ht="15" customHeight="1" x14ac:dyDescent="0.25">
      <c r="A15" s="1"/>
      <c r="B15" s="46" t="s">
        <v>149</v>
      </c>
      <c r="C15" s="46"/>
      <c r="D15" s="46"/>
      <c r="E15" s="1"/>
    </row>
    <row r="16" spans="1:5" ht="15" customHeight="1" x14ac:dyDescent="0.25">
      <c r="A16" s="1"/>
      <c r="B16" s="41" t="s">
        <v>149</v>
      </c>
      <c r="C16" s="9">
        <f>'Fane 10. Periodevise driftsomk.'!C21</f>
        <v>9841.3194944756087</v>
      </c>
      <c r="D16" s="47" t="s">
        <v>3</v>
      </c>
      <c r="E16" s="1"/>
    </row>
    <row r="17" spans="1:5" ht="15" customHeight="1" x14ac:dyDescent="0.25">
      <c r="A17" s="1"/>
      <c r="B17" s="46" t="s">
        <v>50</v>
      </c>
      <c r="C17" s="46"/>
      <c r="D17" s="46"/>
      <c r="E17" s="1"/>
    </row>
    <row r="18" spans="1:5" ht="15" customHeight="1" x14ac:dyDescent="0.25">
      <c r="A18" s="1"/>
      <c r="B18" s="47" t="s">
        <v>51</v>
      </c>
      <c r="C18" s="9">
        <v>0</v>
      </c>
      <c r="D18" s="47" t="s">
        <v>3</v>
      </c>
      <c r="E18" s="1"/>
    </row>
    <row r="19" spans="1:5" ht="15" customHeight="1" x14ac:dyDescent="0.25">
      <c r="A19" s="1"/>
      <c r="B19" s="46" t="s">
        <v>56</v>
      </c>
      <c r="C19" s="46"/>
      <c r="D19" s="46"/>
      <c r="E19" s="1"/>
    </row>
    <row r="20" spans="1:5" ht="15" customHeight="1" x14ac:dyDescent="0.25">
      <c r="A20" s="1"/>
      <c r="B20" s="47" t="s">
        <v>57</v>
      </c>
      <c r="C20" s="9">
        <f>'Fane 6. Skattesagen'!C16</f>
        <v>0</v>
      </c>
      <c r="D20" s="47" t="s">
        <v>3</v>
      </c>
      <c r="E20" s="1"/>
    </row>
    <row r="21" spans="1:5" x14ac:dyDescent="0.25">
      <c r="A21" s="1"/>
      <c r="B21" s="46" t="s">
        <v>90</v>
      </c>
      <c r="C21" s="10">
        <f>SUM(C12,C14,C16,C18,C20)</f>
        <v>1857732.0483463553</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Z1UVMxA+QLifTJgKi1iTUvsB0UwSjzPLINpvZlQdEwHxcqjwJsryQ3YYJSDcS71y6t9V3T9VWo3dnLVjZ0xNow==" saltValue="I66n6kO18/G2NOEncbkXv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2"/>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5" t="s">
        <v>98</v>
      </c>
      <c r="C3" s="85"/>
      <c r="D3" s="85"/>
      <c r="E3" s="1"/>
    </row>
    <row r="4" spans="1:5" ht="15" customHeight="1" x14ac:dyDescent="0.25">
      <c r="A4" s="1"/>
      <c r="B4" s="85"/>
      <c r="C4" s="85"/>
      <c r="D4" s="85"/>
      <c r="E4" s="1"/>
    </row>
    <row r="5" spans="1:5" x14ac:dyDescent="0.25">
      <c r="A5" s="1"/>
      <c r="B5" s="86" t="s">
        <v>20</v>
      </c>
      <c r="C5" s="86"/>
      <c r="D5" s="86"/>
      <c r="E5" s="1"/>
    </row>
    <row r="6" spans="1:5" x14ac:dyDescent="0.25">
      <c r="A6" s="1"/>
      <c r="B6" s="60"/>
      <c r="C6" s="60"/>
      <c r="D6" s="60"/>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1834632.1905061298</v>
      </c>
      <c r="D9" s="44" t="s">
        <v>3</v>
      </c>
      <c r="E9" s="1"/>
    </row>
    <row r="10" spans="1:5" ht="15" customHeight="1" x14ac:dyDescent="0.25">
      <c r="A10" s="1"/>
      <c r="B10" s="24" t="s">
        <v>17</v>
      </c>
      <c r="C10" s="7">
        <f>C9*'Fane 12. Nøgletal'!C11</f>
        <v>121636.1142305564</v>
      </c>
      <c r="D10" s="44" t="s">
        <v>3</v>
      </c>
      <c r="E10" s="1"/>
    </row>
    <row r="11" spans="1:5" ht="15" customHeight="1" x14ac:dyDescent="0.25">
      <c r="A11" s="1"/>
      <c r="B11" s="24" t="s">
        <v>36</v>
      </c>
      <c r="C11" s="7">
        <f>-SUM(C9:C10)*'Fane 12. Nøgletal'!C16</f>
        <v>-33256.561180523669</v>
      </c>
      <c r="D11" s="44" t="s">
        <v>3</v>
      </c>
      <c r="E11" s="1"/>
    </row>
    <row r="12" spans="1:5" x14ac:dyDescent="0.25">
      <c r="A12" s="1"/>
      <c r="B12" s="51" t="s">
        <v>19</v>
      </c>
      <c r="C12" s="9">
        <f>SUM(C9:C11)</f>
        <v>1923011.7435561626</v>
      </c>
      <c r="D12" s="47" t="s">
        <v>3</v>
      </c>
      <c r="E12" s="1"/>
    </row>
    <row r="13" spans="1:5" x14ac:dyDescent="0.25">
      <c r="A13" s="1"/>
      <c r="B13" s="46" t="s">
        <v>11</v>
      </c>
      <c r="C13" s="46"/>
      <c r="D13" s="46"/>
      <c r="E13" s="1"/>
    </row>
    <row r="14" spans="1:5" ht="15" customHeight="1" x14ac:dyDescent="0.25">
      <c r="A14" s="1"/>
      <c r="B14" s="47" t="s">
        <v>11</v>
      </c>
      <c r="C14" s="9">
        <f>'Fane 4. Ikke-påvirkelige omk.'!C19*(1+'Fane 12. Nøgletal'!C11)^3</f>
        <v>14137.579438073095</v>
      </c>
      <c r="D14" s="47" t="s">
        <v>3</v>
      </c>
      <c r="E14" s="1"/>
    </row>
    <row r="15" spans="1:5" ht="15" customHeight="1" x14ac:dyDescent="0.25">
      <c r="A15" s="1"/>
      <c r="B15" s="46" t="s">
        <v>149</v>
      </c>
      <c r="C15" s="46"/>
      <c r="D15" s="46"/>
      <c r="E15" s="1"/>
    </row>
    <row r="16" spans="1:5" ht="15" customHeight="1" x14ac:dyDescent="0.25">
      <c r="A16" s="1"/>
      <c r="B16" s="41" t="s">
        <v>149</v>
      </c>
      <c r="C16" s="9">
        <f>'Fane 10. Periodevise driftsomk.'!C26</f>
        <v>10493.798976959342</v>
      </c>
      <c r="D16" s="47" t="s">
        <v>3</v>
      </c>
      <c r="E16" s="1"/>
    </row>
    <row r="17" spans="1:5" ht="15" customHeight="1" x14ac:dyDescent="0.25">
      <c r="A17" s="1"/>
      <c r="B17" s="46" t="s">
        <v>56</v>
      </c>
      <c r="C17" s="46"/>
      <c r="D17" s="46"/>
      <c r="E17" s="1"/>
    </row>
    <row r="18" spans="1:5" ht="15" customHeight="1" x14ac:dyDescent="0.25">
      <c r="A18" s="1"/>
      <c r="B18" s="47" t="s">
        <v>57</v>
      </c>
      <c r="C18" s="9">
        <f>'Fane 6. Skattesagen'!C17</f>
        <v>0</v>
      </c>
      <c r="D18" s="47" t="s">
        <v>3</v>
      </c>
      <c r="E18" s="1"/>
    </row>
    <row r="19" spans="1:5" x14ac:dyDescent="0.25">
      <c r="A19" s="1"/>
      <c r="B19" s="46" t="s">
        <v>101</v>
      </c>
      <c r="C19" s="10">
        <f>SUM(C12,C14,C16,C18)</f>
        <v>1947643.1219711951</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O9AsOpBhipxlf3kXlJhYNrGLTR4FJvK+7MzsIWXqHVe7N04oQK8hv7w80MwLfq3Hv8DoRk4maAPLh3Nte82yWA==" saltValue="cXoHG6kUX0yDrnG7TOUjo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7" t="s">
        <v>99</v>
      </c>
      <c r="C3" s="87"/>
      <c r="D3" s="87"/>
      <c r="E3" s="1"/>
    </row>
    <row r="4" spans="1:5" ht="15" customHeight="1" x14ac:dyDescent="0.25">
      <c r="A4" s="1"/>
      <c r="B4" s="87"/>
      <c r="C4" s="87"/>
      <c r="D4" s="8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1545773.8131628409</v>
      </c>
      <c r="D9" s="44" t="s">
        <v>3</v>
      </c>
      <c r="E9" s="1"/>
    </row>
    <row r="10" spans="1:5" x14ac:dyDescent="0.25">
      <c r="A10" s="1"/>
      <c r="B10" s="22" t="s">
        <v>42</v>
      </c>
      <c r="C10" s="7">
        <v>18388.731199999998</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56515.357229557136</v>
      </c>
      <c r="D13" s="44" t="s">
        <v>3</v>
      </c>
      <c r="E13" s="1"/>
    </row>
    <row r="14" spans="1:5" x14ac:dyDescent="0.25">
      <c r="A14" s="1"/>
      <c r="B14" s="22" t="s">
        <v>36</v>
      </c>
      <c r="C14" s="8">
        <v>-27551.524327070769</v>
      </c>
      <c r="D14" s="44" t="s">
        <v>3</v>
      </c>
      <c r="E14" s="1"/>
    </row>
    <row r="15" spans="1:5" x14ac:dyDescent="0.25">
      <c r="A15" s="1"/>
      <c r="B15" s="41" t="s">
        <v>19</v>
      </c>
      <c r="C15" s="9">
        <v>1593126.3772653274</v>
      </c>
      <c r="D15" s="47" t="s">
        <v>3</v>
      </c>
      <c r="E15" s="1"/>
    </row>
    <row r="16" spans="1:5" x14ac:dyDescent="0.25">
      <c r="A16" s="1"/>
      <c r="B16" s="46" t="s">
        <v>11</v>
      </c>
      <c r="C16" s="46"/>
      <c r="D16" s="46"/>
      <c r="E16" s="1"/>
    </row>
    <row r="17" spans="1:5" x14ac:dyDescent="0.25">
      <c r="A17" s="1"/>
      <c r="B17" s="47" t="s">
        <v>11</v>
      </c>
      <c r="C17" s="9">
        <v>171200.93347839999</v>
      </c>
      <c r="D17" s="47" t="s">
        <v>3</v>
      </c>
      <c r="E17" s="1"/>
    </row>
    <row r="18" spans="1:5" x14ac:dyDescent="0.25">
      <c r="A18" s="1"/>
      <c r="B18" s="46" t="s">
        <v>149</v>
      </c>
      <c r="C18" s="46"/>
      <c r="D18" s="46"/>
      <c r="E18" s="1"/>
    </row>
    <row r="19" spans="1:5" x14ac:dyDescent="0.25">
      <c r="A19" s="1"/>
      <c r="B19" s="41" t="s">
        <v>149</v>
      </c>
      <c r="C19" s="9">
        <v>8586.8588619252787</v>
      </c>
      <c r="D19" s="47" t="s">
        <v>3</v>
      </c>
      <c r="E19" s="1"/>
    </row>
    <row r="20" spans="1:5" x14ac:dyDescent="0.25">
      <c r="A20" s="1"/>
      <c r="B20" s="46" t="s">
        <v>32</v>
      </c>
      <c r="C20" s="46"/>
      <c r="D20" s="46"/>
      <c r="E20" s="1"/>
    </row>
    <row r="21" spans="1:5" x14ac:dyDescent="0.25">
      <c r="A21" s="1"/>
      <c r="B21" s="22" t="s">
        <v>29</v>
      </c>
      <c r="C21" s="8">
        <v>0</v>
      </c>
      <c r="D21" s="44" t="s">
        <v>3</v>
      </c>
      <c r="E21" s="1"/>
    </row>
    <row r="22" spans="1:5" x14ac:dyDescent="0.25">
      <c r="A22" s="1"/>
      <c r="B22" s="22" t="s">
        <v>30</v>
      </c>
      <c r="C22" s="8">
        <v>0</v>
      </c>
      <c r="D22" s="44" t="s">
        <v>3</v>
      </c>
      <c r="E22" s="1"/>
    </row>
    <row r="23" spans="1:5" x14ac:dyDescent="0.25">
      <c r="A23" s="1"/>
      <c r="B23" s="22" t="s">
        <v>61</v>
      </c>
      <c r="C23" s="8">
        <v>0</v>
      </c>
      <c r="D23" s="44" t="s">
        <v>3</v>
      </c>
      <c r="E23" s="1"/>
    </row>
    <row r="24" spans="1:5" x14ac:dyDescent="0.25">
      <c r="A24" s="1"/>
      <c r="B24" s="41" t="s">
        <v>33</v>
      </c>
      <c r="C24" s="9">
        <v>0</v>
      </c>
      <c r="D24" s="47" t="s">
        <v>3</v>
      </c>
      <c r="E24" s="1"/>
    </row>
    <row r="25" spans="1:5" x14ac:dyDescent="0.25">
      <c r="A25" s="1"/>
      <c r="B25" s="46" t="s">
        <v>50</v>
      </c>
      <c r="C25" s="46"/>
      <c r="D25" s="46"/>
      <c r="E25" s="1"/>
    </row>
    <row r="26" spans="1:5" x14ac:dyDescent="0.25">
      <c r="A26" s="1"/>
      <c r="B26" s="41" t="s">
        <v>51</v>
      </c>
      <c r="C26" s="9">
        <v>41763.964745052042</v>
      </c>
      <c r="D26" s="47" t="s">
        <v>3</v>
      </c>
      <c r="E26" s="1"/>
    </row>
    <row r="27" spans="1:5" ht="15" customHeight="1" x14ac:dyDescent="0.25">
      <c r="A27" s="1"/>
      <c r="B27" s="46" t="s">
        <v>150</v>
      </c>
      <c r="C27" s="46"/>
      <c r="D27" s="46"/>
      <c r="E27" s="1"/>
    </row>
    <row r="28" spans="1:5" ht="27" customHeight="1" x14ac:dyDescent="0.25">
      <c r="A28" s="1"/>
      <c r="B28" s="41" t="s">
        <v>151</v>
      </c>
      <c r="C28" s="9">
        <v>0</v>
      </c>
      <c r="D28" s="47" t="s">
        <v>3</v>
      </c>
      <c r="E28" s="1"/>
    </row>
    <row r="29" spans="1:5" x14ac:dyDescent="0.25">
      <c r="A29" s="1"/>
      <c r="B29" s="46" t="s">
        <v>56</v>
      </c>
      <c r="C29" s="46"/>
      <c r="D29" s="46"/>
      <c r="E29" s="1"/>
    </row>
    <row r="30" spans="1:5" x14ac:dyDescent="0.25">
      <c r="A30" s="1"/>
      <c r="B30" s="47" t="s">
        <v>57</v>
      </c>
      <c r="C30" s="9">
        <v>0</v>
      </c>
      <c r="D30" s="47" t="s">
        <v>3</v>
      </c>
      <c r="E30" s="1"/>
    </row>
    <row r="31" spans="1:5" x14ac:dyDescent="0.25">
      <c r="A31" s="1"/>
      <c r="B31" s="46" t="s">
        <v>47</v>
      </c>
      <c r="C31" s="10">
        <v>1814678.1343507045</v>
      </c>
      <c r="D31" s="11" t="s">
        <v>3</v>
      </c>
      <c r="E31" s="1"/>
    </row>
    <row r="32" spans="1:5" ht="30" customHeight="1" x14ac:dyDescent="0.25">
      <c r="A32" s="1"/>
      <c r="B32" s="88" t="s">
        <v>152</v>
      </c>
      <c r="C32" s="88"/>
      <c r="D32" s="88"/>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XPcVe5ueVkE86rSHhbcmc+BLiTzXwpCuFdY6SK39wgwZIDXJ89ZyzumKS+Plbjb9LLF1cS0IfAW938nTAzpZWA==" saltValue="qfjM83lW7juXhVOREJC4M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5" t="s">
        <v>35</v>
      </c>
      <c r="C3" s="85"/>
      <c r="D3" s="85"/>
      <c r="E3" s="1"/>
    </row>
    <row r="4" spans="1:5" ht="15" customHeight="1" x14ac:dyDescent="0.25">
      <c r="A4" s="1"/>
      <c r="B4" s="85"/>
      <c r="C4" s="85"/>
      <c r="D4" s="8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9" t="s">
        <v>103</v>
      </c>
      <c r="C8" s="90"/>
      <c r="D8" s="91"/>
      <c r="E8" s="1"/>
    </row>
    <row r="9" spans="1:5" ht="15" customHeight="1" x14ac:dyDescent="0.25">
      <c r="A9" s="1"/>
      <c r="B9" s="67" t="s">
        <v>23</v>
      </c>
      <c r="C9" s="51" t="s">
        <v>114</v>
      </c>
      <c r="D9" s="47"/>
      <c r="E9" s="1"/>
    </row>
    <row r="10" spans="1:5" ht="15" customHeight="1" x14ac:dyDescent="0.25">
      <c r="A10" s="1"/>
      <c r="B10" s="21" t="s">
        <v>154</v>
      </c>
      <c r="C10" s="8">
        <v>10256</v>
      </c>
      <c r="D10" s="12" t="s">
        <v>3</v>
      </c>
      <c r="E10" s="1"/>
    </row>
    <row r="11" spans="1:5" x14ac:dyDescent="0.25">
      <c r="A11" s="1"/>
      <c r="B11" s="21"/>
      <c r="C11" s="8"/>
      <c r="D11" s="12" t="s">
        <v>3</v>
      </c>
      <c r="E11" s="1"/>
    </row>
    <row r="12" spans="1:5" x14ac:dyDescent="0.25">
      <c r="A12" s="1"/>
      <c r="B12" s="21"/>
      <c r="C12" s="8"/>
      <c r="D12" s="12" t="s">
        <v>3</v>
      </c>
      <c r="E12" s="1"/>
    </row>
    <row r="13" spans="1:5" x14ac:dyDescent="0.25">
      <c r="A13" s="1"/>
      <c r="B13" s="21"/>
      <c r="C13" s="8"/>
      <c r="D13" s="12" t="s">
        <v>3</v>
      </c>
      <c r="E13" s="1"/>
    </row>
    <row r="14" spans="1:5" x14ac:dyDescent="0.25">
      <c r="A14" s="1"/>
      <c r="B14" s="21"/>
      <c r="C14" s="8"/>
      <c r="D14" s="12" t="s">
        <v>3</v>
      </c>
      <c r="E14" s="1"/>
    </row>
    <row r="15" spans="1:5" x14ac:dyDescent="0.25">
      <c r="A15" s="1"/>
      <c r="B15" s="21"/>
      <c r="C15" s="8"/>
      <c r="D15" s="12" t="s">
        <v>3</v>
      </c>
      <c r="E15" s="1"/>
    </row>
    <row r="16" spans="1:5" x14ac:dyDescent="0.25">
      <c r="A16" s="1"/>
      <c r="B16" s="21"/>
      <c r="C16" s="8"/>
      <c r="D16" s="12" t="s">
        <v>3</v>
      </c>
      <c r="E16" s="1"/>
    </row>
    <row r="17" spans="1:5" x14ac:dyDescent="0.25">
      <c r="A17" s="1"/>
      <c r="B17" s="21"/>
      <c r="C17" s="8"/>
      <c r="D17" s="12" t="s">
        <v>3</v>
      </c>
      <c r="E17" s="1"/>
    </row>
    <row r="18" spans="1:5" x14ac:dyDescent="0.25">
      <c r="A18" s="1"/>
      <c r="B18" s="68" t="s">
        <v>104</v>
      </c>
      <c r="C18" s="10">
        <f>SUM(C10:C17)</f>
        <v>10256</v>
      </c>
      <c r="D18" s="11" t="s">
        <v>3</v>
      </c>
      <c r="E18" s="1"/>
    </row>
    <row r="19" spans="1:5" x14ac:dyDescent="0.25">
      <c r="A19" s="1"/>
      <c r="B19" s="68" t="s">
        <v>105</v>
      </c>
      <c r="C19" s="10">
        <f>C18*(1+'Fane 12. Nøgletal'!C11)^2</f>
        <v>11661.027796640001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WGFpXmAYvQsrrUnie1eyF69NPPpUQ5AEhi7Byr1M7TKZLPci+HS1cGHfhWsvp6aHJ3sPvHa8rhWuezv39NHYg==" saltValue="h65kofRVRx81yo1r4Pead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7" t="s">
        <v>120</v>
      </c>
      <c r="C3" s="87"/>
      <c r="D3" s="87"/>
      <c r="E3" s="1"/>
    </row>
    <row r="4" spans="1:5" ht="15" customHeight="1" x14ac:dyDescent="0.25">
      <c r="A4" s="1"/>
      <c r="B4" s="87"/>
      <c r="C4" s="87"/>
      <c r="D4" s="87"/>
      <c r="E4" s="1"/>
    </row>
    <row r="5" spans="1:5" ht="15" customHeight="1" x14ac:dyDescent="0.25">
      <c r="A5" s="1"/>
      <c r="B5" s="87"/>
      <c r="C5" s="87"/>
      <c r="D5" s="87"/>
      <c r="E5" s="1"/>
    </row>
    <row r="6" spans="1:5" ht="15" customHeight="1" x14ac:dyDescent="0.25">
      <c r="A6" s="1"/>
      <c r="B6" s="61"/>
      <c r="C6" s="61"/>
      <c r="D6" s="61"/>
      <c r="E6" s="1"/>
    </row>
    <row r="7" spans="1:5" x14ac:dyDescent="0.25">
      <c r="A7" s="1"/>
      <c r="B7" s="1"/>
      <c r="C7" s="1"/>
      <c r="D7" s="1"/>
      <c r="E7" s="1"/>
    </row>
    <row r="8" spans="1:5" x14ac:dyDescent="0.25">
      <c r="A8" s="1"/>
      <c r="B8" s="89" t="s">
        <v>54</v>
      </c>
      <c r="C8" s="90"/>
      <c r="D8" s="91"/>
      <c r="E8" s="1"/>
    </row>
    <row r="9" spans="1:5" x14ac:dyDescent="0.25">
      <c r="A9" s="1"/>
      <c r="B9" s="49" t="s">
        <v>121</v>
      </c>
      <c r="C9" s="8">
        <v>3121.8681808607653</v>
      </c>
      <c r="D9" s="12" t="s">
        <v>3</v>
      </c>
      <c r="E9" s="1"/>
    </row>
    <row r="10" spans="1:5" x14ac:dyDescent="0.25">
      <c r="A10" s="1"/>
      <c r="B10" s="49" t="s">
        <v>122</v>
      </c>
      <c r="C10" s="8">
        <v>104917.99474937818</v>
      </c>
      <c r="D10" s="12" t="s">
        <v>3</v>
      </c>
      <c r="E10" s="1"/>
    </row>
    <row r="11" spans="1:5" x14ac:dyDescent="0.25">
      <c r="A11" s="1"/>
      <c r="B11" s="68"/>
      <c r="C11" s="20"/>
      <c r="D11" s="69"/>
      <c r="E11" s="1"/>
    </row>
    <row r="12" spans="1:5" ht="39.75" customHeight="1" x14ac:dyDescent="0.25">
      <c r="A12" s="1"/>
      <c r="B12" s="92" t="s">
        <v>123</v>
      </c>
      <c r="C12" s="93"/>
      <c r="D12" s="94"/>
      <c r="E12" s="1"/>
    </row>
    <row r="13" spans="1:5" x14ac:dyDescent="0.25">
      <c r="A13" s="1"/>
      <c r="B13" s="1"/>
      <c r="C13" s="1"/>
      <c r="D13" s="1"/>
      <c r="E13" s="1"/>
    </row>
    <row r="14" spans="1:5" x14ac:dyDescent="0.25">
      <c r="A14" s="1"/>
      <c r="B14" s="62" t="s">
        <v>124</v>
      </c>
      <c r="C14" s="63"/>
      <c r="D14" s="64"/>
      <c r="E14" s="1"/>
    </row>
    <row r="15" spans="1:5" x14ac:dyDescent="0.25">
      <c r="A15" s="1"/>
      <c r="B15" s="49" t="s">
        <v>125</v>
      </c>
      <c r="C15" s="8">
        <f>IF(C10&lt;0,C10,0)</f>
        <v>0</v>
      </c>
      <c r="D15" s="12" t="s">
        <v>3</v>
      </c>
      <c r="E15" s="1"/>
    </row>
    <row r="16" spans="1:5" x14ac:dyDescent="0.25">
      <c r="A16" s="1"/>
      <c r="B16" s="49" t="s">
        <v>126</v>
      </c>
      <c r="C16" s="8">
        <f>IF(SUM(C9)&gt;0,SUM(C9),0)</f>
        <v>3121.8681808607653</v>
      </c>
      <c r="D16" s="12" t="s">
        <v>3</v>
      </c>
      <c r="E16" s="1"/>
    </row>
    <row r="17" spans="1:5" ht="26.25" x14ac:dyDescent="0.25">
      <c r="A17" s="1"/>
      <c r="B17" s="65" t="s">
        <v>153</v>
      </c>
      <c r="C17" s="54">
        <f>IF(SUM(C15:C16)&gt;0,0,SUM(C15:C16))</f>
        <v>0</v>
      </c>
      <c r="D17" s="15" t="s">
        <v>3</v>
      </c>
      <c r="E17" s="1"/>
    </row>
    <row r="18" spans="1:5" x14ac:dyDescent="0.25">
      <c r="A18" s="1"/>
      <c r="B18" s="68"/>
      <c r="C18" s="20"/>
      <c r="D18" s="69"/>
      <c r="E18" s="1"/>
    </row>
    <row r="19" spans="1:5" x14ac:dyDescent="0.25">
      <c r="A19" s="1"/>
      <c r="B19" s="1"/>
      <c r="C19" s="1"/>
      <c r="D19" s="1"/>
      <c r="E19" s="1"/>
    </row>
    <row r="20" spans="1:5" x14ac:dyDescent="0.25">
      <c r="A20" s="1"/>
      <c r="B20" s="62" t="s">
        <v>127</v>
      </c>
      <c r="C20" s="63"/>
      <c r="D20" s="64"/>
      <c r="E20" s="1"/>
    </row>
    <row r="21" spans="1:5" x14ac:dyDescent="0.25">
      <c r="A21" s="1"/>
      <c r="B21" s="49" t="s">
        <v>128</v>
      </c>
      <c r="C21" s="8">
        <v>1466021.4655234979</v>
      </c>
      <c r="D21" s="12" t="s">
        <v>3</v>
      </c>
      <c r="E21" s="1"/>
    </row>
    <row r="22" spans="1:5" x14ac:dyDescent="0.25">
      <c r="A22" s="1"/>
      <c r="B22" s="49" t="s">
        <v>155</v>
      </c>
      <c r="C22" s="8">
        <v>1581409.3333333333</v>
      </c>
      <c r="D22" s="12" t="s">
        <v>3</v>
      </c>
      <c r="E22" s="1"/>
    </row>
    <row r="23" spans="1:5" x14ac:dyDescent="0.25">
      <c r="A23" s="1"/>
      <c r="B23" s="49" t="s">
        <v>24</v>
      </c>
      <c r="C23" s="8">
        <v>0</v>
      </c>
      <c r="D23" s="12" t="s">
        <v>3</v>
      </c>
      <c r="E23" s="1"/>
    </row>
    <row r="24" spans="1:5" x14ac:dyDescent="0.25">
      <c r="A24" s="1"/>
      <c r="B24" s="48" t="s">
        <v>129</v>
      </c>
      <c r="C24" s="54">
        <f>C21-C22-C23</f>
        <v>-115387.86780983536</v>
      </c>
      <c r="D24" s="15" t="s">
        <v>3</v>
      </c>
      <c r="E24" s="1"/>
    </row>
    <row r="25" spans="1:5" x14ac:dyDescent="0.25">
      <c r="A25" s="1"/>
      <c r="B25" s="68"/>
      <c r="C25" s="20"/>
      <c r="D25" s="69"/>
      <c r="E25" s="1"/>
    </row>
    <row r="26" spans="1:5" x14ac:dyDescent="0.25">
      <c r="A26" s="1"/>
      <c r="B26" s="1"/>
      <c r="C26" s="1"/>
      <c r="D26" s="1"/>
      <c r="E26" s="1"/>
    </row>
    <row r="27" spans="1:5" x14ac:dyDescent="0.25">
      <c r="A27" s="1"/>
      <c r="B27" s="89" t="s">
        <v>130</v>
      </c>
      <c r="C27" s="90"/>
      <c r="D27" s="91"/>
      <c r="E27" s="1"/>
    </row>
    <row r="28" spans="1:5" x14ac:dyDescent="0.25">
      <c r="A28" s="1"/>
      <c r="B28" s="50" t="s">
        <v>50</v>
      </c>
      <c r="C28" s="8">
        <f>IF(C17&lt;0,IF(C24&lt;0,SUM(C17,C24),IF(C9&gt;0,SUM(C9:C10),C17)),IF(AND(C24&lt;0,SUM(C24,C10)&lt;0),IF(C10&lt;0,C24,IF(SUM(C9:C10)&gt;0,SUM(C24,C10),IF(AND(C24&lt;0,C17=0,C10&gt;0),IF(SUM(C9:C10)&gt;0,C24+C10,C24)))),0))</f>
        <v>-10469.873060457176</v>
      </c>
      <c r="D28" s="12" t="s">
        <v>3</v>
      </c>
      <c r="E28" s="1"/>
    </row>
    <row r="29" spans="1:5" x14ac:dyDescent="0.25">
      <c r="A29" s="1"/>
      <c r="B29" s="50" t="s">
        <v>37</v>
      </c>
      <c r="C29" s="8">
        <v>2</v>
      </c>
      <c r="D29" s="12" t="s">
        <v>18</v>
      </c>
      <c r="E29" s="1"/>
    </row>
    <row r="30" spans="1:5" x14ac:dyDescent="0.25">
      <c r="A30" s="1"/>
      <c r="B30" s="48" t="s">
        <v>55</v>
      </c>
      <c r="C30" s="9">
        <f>C28/C29</f>
        <v>-5234.9365302285878</v>
      </c>
      <c r="D30" s="15" t="s">
        <v>3</v>
      </c>
      <c r="E30" s="1"/>
    </row>
    <row r="31" spans="1:5" x14ac:dyDescent="0.25">
      <c r="A31" s="1"/>
      <c r="B31" s="95"/>
      <c r="C31" s="96"/>
      <c r="D31" s="97"/>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GBVeRJbep0y0u63SsOCssJzOvscK5IUnUzrLN0GBEyrTwehNchwlt1ndUeuwDrgEE5f6/31dakTPoBrMH0lJmw==" saltValue="XuxJ+gGIf0avn1dZaTulAw=="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7" t="s">
        <v>86</v>
      </c>
      <c r="C3" s="87"/>
      <c r="D3" s="87"/>
      <c r="E3" s="1"/>
    </row>
    <row r="4" spans="1:5" ht="15" customHeight="1" x14ac:dyDescent="0.25">
      <c r="A4" s="1"/>
      <c r="B4" s="87"/>
      <c r="C4" s="87"/>
      <c r="D4" s="87"/>
      <c r="E4" s="1"/>
    </row>
    <row r="5" spans="1:5" x14ac:dyDescent="0.25">
      <c r="A5" s="1"/>
      <c r="B5" s="87"/>
      <c r="C5" s="87"/>
      <c r="D5" s="87"/>
      <c r="E5" s="1"/>
    </row>
    <row r="6" spans="1:5" x14ac:dyDescent="0.25">
      <c r="A6" s="1"/>
      <c r="B6" s="1"/>
      <c r="C6" s="1"/>
      <c r="D6" s="1"/>
      <c r="E6" s="1"/>
    </row>
    <row r="7" spans="1:5" x14ac:dyDescent="0.25">
      <c r="A7" s="1"/>
      <c r="B7" s="1"/>
      <c r="C7" s="1"/>
      <c r="D7" s="1"/>
      <c r="E7" s="1"/>
    </row>
    <row r="8" spans="1:5" x14ac:dyDescent="0.25">
      <c r="A8" s="1"/>
      <c r="B8" s="89" t="s">
        <v>75</v>
      </c>
      <c r="C8" s="90"/>
      <c r="D8" s="91"/>
      <c r="E8" s="1"/>
    </row>
    <row r="9" spans="1:5" ht="15" customHeight="1" x14ac:dyDescent="0.25">
      <c r="A9" s="1"/>
      <c r="B9" s="98" t="s">
        <v>76</v>
      </c>
      <c r="C9" s="99"/>
      <c r="D9" s="100"/>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62"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liVA6Rvex0dgs8LGDO9p4QkD90w6kZRJXbKf/O4Nkdk4dIu2K0hfiMD2OFzLGW4nRm6roAxj+V+XFQxlrsECw==" saltValue="Vwr6jGbUM1x4ESke6BMe2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Navngivne områder</vt:lpstr>
      </vt:variant>
      <vt:variant>
        <vt:i4>15</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Periodevise driftsomk.</vt:lpstr>
      <vt:lpstr>Fane 11. Bortfald</vt:lpstr>
      <vt:lpstr>Fane 12. Nøgletal</vt:lpstr>
      <vt:lpstr>Fane21</vt:lpstr>
      <vt:lpstr>Fane21total</vt:lpstr>
      <vt:lpstr>Fane22</vt:lpstr>
      <vt:lpstr>Fane22total</vt:lpstr>
      <vt:lpstr>Fane23</vt:lpstr>
      <vt:lpstr>Fane23total</vt:lpstr>
      <vt:lpstr>Fane24</vt:lpstr>
      <vt:lpstr>Fane24total</vt:lpstr>
      <vt:lpstr>Tabel_Fane_11</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2024-08-14T11:17:01Z</dcterms:modified>
</cp:coreProperties>
</file>