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Denne_projektmappe" defaultThemeVersion="124226"/>
  <mc:AlternateContent xmlns:mc="http://schemas.openxmlformats.org/markup-compatibility/2006">
    <mc:Choice Requires="x15">
      <x15ac:absPath xmlns:x15ac="http://schemas.microsoft.com/office/spreadsheetml/2010/11/ac" url="E:\VAND\Sagsbehandling\Spildevand\Skanderborg Spildevand AS (S085)\ØR2024\"/>
    </mc:Choice>
  </mc:AlternateContent>
  <xr:revisionPtr revIDLastSave="0" documentId="13_ncr:1_{02B7D999-C65B-494F-9B2B-1E6391319AF4}"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3" r:id="rId11"/>
    <sheet name="Fane 8. Skattesagen" sheetId="41" r:id="rId12"/>
    <sheet name="Fane 9. Korrektion af ØR2022" sheetId="40" r:id="rId13"/>
    <sheet name="Fane 10. Anlægsprojekter (§19) "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Tabel_Fane_13">'Fane 13. Tilknyttet virksomhed'!$B$8:$F$13</definedName>
    <definedName name="Tabel_Fane_14">'Fane 14. Bortfald'!$B$9:$F$13</definedName>
    <definedName name="Tabel_Fane_2_1">'Fane 2.1. Økonomisk ramme 2024'!$B$8:$D$39</definedName>
    <definedName name="Tabel_Fane_2_2">'Fane 2.2. Økonomisk ramme 2025'!$B$8:$D$23</definedName>
    <definedName name="Tabel_Fane_2_3">'Fane 2.3. Økonomisk ramme 2026'!$B$7:$D$22</definedName>
    <definedName name="Tabel_Fane_2_4">'Fane 2.4. Økonomisk ramme 2027'!$B$7:$D$22</definedName>
    <definedName name="Tabel_Fane_3">'Fane 3. Omkostninger i ØR2023'!$B$8:$D$40</definedName>
    <definedName name="Tabel_Fane_8">'Fane 8. Skattesagen'!$B$8:$H$18</definedName>
  </definedNames>
  <calcPr calcId="191029"/>
</workbook>
</file>

<file path=xl/calcChain.xml><?xml version="1.0" encoding="utf-8"?>
<calcChain xmlns="http://schemas.openxmlformats.org/spreadsheetml/2006/main">
  <c r="C17" i="37" l="1"/>
  <c r="E17" i="43" l="1"/>
  <c r="E18" i="43"/>
  <c r="E26" i="43" l="1"/>
  <c r="E19" i="43"/>
  <c r="C9" i="2"/>
  <c r="E30" i="43" l="1"/>
  <c r="E32" i="43" s="1"/>
  <c r="E18" i="39"/>
  <c r="C18" i="39"/>
  <c r="C20" i="15" l="1"/>
  <c r="C34" i="2"/>
  <c r="E29" i="20"/>
  <c r="E23" i="20"/>
  <c r="E17" i="20"/>
  <c r="E11" i="20"/>
  <c r="E19" i="39" l="1"/>
  <c r="C19" i="39"/>
  <c r="C21" i="23" l="1"/>
  <c r="C21" i="22"/>
  <c r="C22" i="15"/>
  <c r="C36" i="2"/>
  <c r="F10" i="11" l="1"/>
  <c r="G18" i="41" l="1"/>
  <c r="C15" i="19" l="1"/>
  <c r="C16" i="19" s="1"/>
  <c r="J11" i="11"/>
  <c r="H11" i="11"/>
  <c r="C15" i="22" l="1"/>
  <c r="C15" i="23"/>
  <c r="C16" i="15"/>
  <c r="C22" i="2"/>
  <c r="G34" i="30"/>
  <c r="C10" i="37" l="1"/>
  <c r="C18" i="37" s="1"/>
  <c r="G7" i="30" l="1"/>
  <c r="G11" i="30" s="1"/>
  <c r="E30" i="20" l="1"/>
  <c r="E31" i="20" s="1"/>
  <c r="C17" i="23" l="1"/>
  <c r="C27" i="2"/>
  <c r="C29" i="2" s="1"/>
  <c r="C26" i="2"/>
  <c r="C28" i="2" s="1"/>
  <c r="E16" i="40" l="1"/>
  <c r="E12" i="40"/>
  <c r="G26" i="30"/>
  <c r="G33" i="30" s="1"/>
  <c r="C30" i="2" l="1"/>
  <c r="G33" i="36" l="1"/>
  <c r="G25" i="36"/>
  <c r="G32" i="36" s="1"/>
  <c r="G7" i="36"/>
  <c r="G11" i="36" s="1"/>
  <c r="G14" i="36" s="1"/>
  <c r="G18" i="36" l="1"/>
  <c r="G20" i="36" l="1"/>
  <c r="G24" i="36"/>
  <c r="G31" i="36" l="1"/>
  <c r="G35" i="36" s="1"/>
  <c r="G27" i="36"/>
  <c r="G39" i="36" l="1"/>
  <c r="G41" i="36" l="1"/>
  <c r="G45" i="36" s="1"/>
  <c r="F11" i="11" l="1"/>
  <c r="E10" i="37" s="1"/>
  <c r="G15" i="30"/>
  <c r="E17" i="37" l="1"/>
  <c r="E18" i="37" s="1"/>
  <c r="E24" i="20"/>
  <c r="E18" i="20"/>
  <c r="E19" i="20" s="1"/>
  <c r="E12" i="20"/>
  <c r="E13" i="20" s="1"/>
  <c r="C18" i="15" l="1"/>
  <c r="E17" i="40"/>
  <c r="C32" i="2" s="1"/>
  <c r="C24" i="2"/>
  <c r="E25" i="20" l="1"/>
  <c r="C17" i="22" s="1"/>
  <c r="E12" i="21"/>
  <c r="E13" i="21" s="1"/>
  <c r="C12" i="21"/>
  <c r="C13" i="21" s="1"/>
  <c r="C13" i="2" l="1"/>
  <c r="C12" i="2"/>
  <c r="G19" i="30" l="1"/>
  <c r="G25" i="30" s="1"/>
  <c r="G21" i="30" l="1"/>
  <c r="G28" i="30"/>
  <c r="G32" i="30"/>
  <c r="G36" i="30" s="1"/>
  <c r="G40" i="30" s="1"/>
  <c r="C10" i="2" l="1"/>
  <c r="E12" i="29"/>
  <c r="E13" i="29" s="1"/>
  <c r="C12" i="29"/>
  <c r="C13" i="29" s="1"/>
  <c r="C15" i="2" l="1"/>
  <c r="C14" i="2"/>
  <c r="G54" i="30" s="1"/>
  <c r="G42" i="30" l="1"/>
  <c r="G46" i="30" s="1"/>
  <c r="G48" i="30" l="1"/>
  <c r="C11" i="2"/>
  <c r="G52" i="36" s="1"/>
  <c r="G53" i="30" l="1"/>
  <c r="G47" i="36"/>
  <c r="G55" i="30" l="1"/>
  <c r="C18" i="2" s="1"/>
  <c r="G51" i="36"/>
  <c r="G57" i="36" s="1"/>
  <c r="G59" i="30" l="1"/>
  <c r="C16" i="2"/>
  <c r="C17" i="2" s="1"/>
  <c r="C13" i="15"/>
  <c r="C19" i="2" l="1"/>
  <c r="C20" i="2" s="1"/>
  <c r="C39" i="2" s="1"/>
  <c r="G60" i="30"/>
  <c r="C12" i="15" s="1"/>
  <c r="G62" i="36" l="1"/>
  <c r="C12" i="22" s="1"/>
  <c r="G64" i="30"/>
  <c r="C9" i="15"/>
  <c r="C10" i="15" l="1"/>
  <c r="C11" i="15" s="1"/>
  <c r="C14" i="15" s="1"/>
  <c r="G65" i="30"/>
  <c r="C11" i="22" s="1"/>
  <c r="G67" i="36" l="1"/>
  <c r="C12" i="23" s="1"/>
  <c r="G69" i="30"/>
  <c r="G70" i="30" s="1"/>
  <c r="C11" i="23" s="1"/>
  <c r="C23" i="15"/>
  <c r="C8" i="22" l="1"/>
  <c r="C9" i="22" l="1"/>
  <c r="C10" i="22" s="1"/>
  <c r="C13" i="22" l="1"/>
  <c r="C22" i="22" s="1"/>
  <c r="C8" i="23" l="1"/>
  <c r="C9" i="23" s="1"/>
  <c r="C10" i="23" s="1"/>
  <c r="C13" i="23" s="1"/>
  <c r="C22" i="23" s="1"/>
</calcChain>
</file>

<file path=xl/sharedStrings.xml><?xml version="1.0" encoding="utf-8"?>
<sst xmlns="http://schemas.openxmlformats.org/spreadsheetml/2006/main" count="684" uniqueCount="312">
  <si>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</si>
  <si>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</si>
  <si>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</si>
  <si>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</si>
  <si>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</si>
  <si>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</si>
  <si>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</si>
  <si>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</si>
  <si>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</si>
  <si>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</si>
  <si>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</si>
  <si>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</si>
  <si>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</si>
  <si>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</si>
  <si>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</si>
  <si>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</si>
  <si>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</si>
  <si>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</si>
  <si>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</si>
  <si>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</si>
  <si>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</si>
  <si>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</si>
  <si>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Vejledende</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</si>
  <si>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</si>
  <si>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</si>
  <si>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</si>
  <si>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</si>
  <si>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</si>
  <si>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</si>
  <si>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</si>
  <si>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</si>
  <si>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</si>
  <si>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</si>
  <si>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</si>
  <si>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</si>
  <si>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</si>
  <si>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</si>
  <si>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</si>
  <si>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</si>
  <si>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Prisudvikling til brug for nye omkostninger i ØR2020</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</si>
  <si>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</si>
  <si>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</si>
  <si>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</si>
  <si>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</si>
  <si>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</si>
  <si>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</si>
  <si>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</si>
  <si>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</si>
  <si>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</si>
  <si>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</si>
  <si>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driftsomkostninger i de økonomiske rammer for 2021</t>
  </si>
  <si>
    <t>Base for driftsomkostninger til de økonomiske rammer for 2021</t>
  </si>
  <si>
    <t>Generelt effektiviseringskrav til driftsomkostningerne i ØR21</t>
  </si>
  <si>
    <t>Generelt effektiviseringskrav til anlægsomkostninger i de økonomiske rammer for 2018</t>
  </si>
  <si>
    <t>Generelt effektiviseringskrav til anlægsomkostningerne i ØR18</t>
  </si>
  <si>
    <t>Generelt effektiviseringskrav til anlægsomkostninger i de økonomiske rammer for 2019</t>
  </si>
  <si>
    <t>Base for anlægsomkostninger til de økonomiske rammer for 2019</t>
  </si>
  <si>
    <t>Generelt effektiviseringskrav til anlægsomkostningerne i ØR19</t>
  </si>
  <si>
    <t>Base for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</si>
  <si>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</si>
  <si>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</si>
  <si>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</si>
  <si>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</si>
  <si>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anlægsomkostninger til de vejledende økonomiske rammer for 2023</t>
  </si>
  <si>
    <t>Nye varige tillæg</t>
  </si>
  <si>
    <t>Engangstillæg - Drift</t>
  </si>
  <si>
    <t>Engangstillæg - Anlæg</t>
  </si>
  <si>
    <t>Fane 7</t>
  </si>
  <si>
    <t>Varige tillæg</t>
  </si>
  <si>
    <t>Engangstillæg</t>
  </si>
  <si>
    <t>Periodevise driftsomkostninger</t>
  </si>
  <si>
    <t>Engangstillæg i alt</t>
  </si>
  <si>
    <t>Fane 5: Individuelt effektiviseringskrav</t>
  </si>
  <si>
    <t>Bortfald eller nedsættelse i alt i 2022-prisniveau</t>
  </si>
  <si>
    <t>Korrektion af tidligere godkendte omkostninger til medfinansiering af klimatilpasningsprojekter</t>
  </si>
  <si>
    <t>Generelt effektiviseringskrav på drift</t>
  </si>
  <si>
    <t>Generelt effektiviseringskrav på anlæg</t>
  </si>
  <si>
    <t>Engangstillæg til de økonomiske rammer for 2023</t>
  </si>
  <si>
    <t>Tillæg til tilbagebetaling af vejbidrag</t>
  </si>
  <si>
    <t>Samlede tillæg til periodevise driftsomkostninger jf. indmeldte oprensningsplan</t>
  </si>
  <si>
    <t>Difference (Korrektion)</t>
  </si>
  <si>
    <t>Antal år i næste reguleringsperiode</t>
  </si>
  <si>
    <t>Generelt effektiviseringskrav til driftsomkostningerne</t>
  </si>
  <si>
    <t>Generelt effektiviseringskrav til anlægsomkostningerne</t>
  </si>
  <si>
    <t>Nøgletal</t>
  </si>
  <si>
    <t>Fane 4.1</t>
  </si>
  <si>
    <t>Fane 4.2</t>
  </si>
  <si>
    <t>Fane 6</t>
  </si>
  <si>
    <t>Fane 6: Ikke-påvirkelige omkostninger</t>
  </si>
  <si>
    <t>Fane 4.2: Generelt effektiviseringskrav til anlægsomkostningerne</t>
  </si>
  <si>
    <t>Fane 4.1: Generelt effektiviseringskrav til driftsomkostningerne</t>
  </si>
  <si>
    <t>Prisudvikling til brug for ØR2018-2021</t>
  </si>
  <si>
    <t>Generelt effektiviseringskrav til brug for nye anlægsomkostninger i ØR2019</t>
  </si>
  <si>
    <t>Generelt effektiviseringskrav til brug for anlægsomkostninger i ØR2018-2021</t>
  </si>
  <si>
    <t>Generelt effektiviseringskrav til brug for nye anlægsomkostninger i ØR2020</t>
  </si>
  <si>
    <t>Generelt effektiviseringskrav til brug for driftsomkostninger</t>
  </si>
  <si>
    <t>Tillæg til medfinansieringsprojekter godkendt under prisloftsbekendtgørelsen</t>
  </si>
  <si>
    <t>- Heraf nye anlægsomkostninger til de økonomiske rammer for 2020</t>
  </si>
  <si>
    <t>- Heraf nye driftsomkostninger til de økonomiske rammer for 2020</t>
  </si>
  <si>
    <t>Periodevise driftsomkostninger i den økonomiske ramme for 2018</t>
  </si>
  <si>
    <t>Fane 3</t>
  </si>
  <si>
    <t>Korrektion af driftsomkostninger i grundlaget</t>
  </si>
  <si>
    <t>Korrektion af anlægsomkostninger i grundlaget</t>
  </si>
  <si>
    <t>Tilknyttet virksomhed</t>
  </si>
  <si>
    <t>Tidligere tilknyttet virksomhed - Drift</t>
  </si>
  <si>
    <t>Tidligere tilknyttet virksomhed - Anlæg</t>
  </si>
  <si>
    <t>Videreførte omkostninger fra den økonomiske ramme for 2023</t>
  </si>
  <si>
    <t>Økonomisk ramme for 2024</t>
  </si>
  <si>
    <t>Periodevise driftsomkostninger til de økonomiske rammer for 2024</t>
  </si>
  <si>
    <t>Periodevise driftsomkostninger i alt i 2024-prisniveau</t>
  </si>
  <si>
    <t>Tilknyttet virksomhed under hovedvirksomheden</t>
  </si>
  <si>
    <t>Beskrivelse af tilknyttet virksomhed</t>
  </si>
  <si>
    <t>Prisudvikling til brug for nye omkostninger i ØR2021</t>
  </si>
  <si>
    <t>Generelt effektiviseringskrav til brug for nye anlægsomkostninger i ØR2021</t>
  </si>
  <si>
    <t>Nye driftsomkostninger til de økonomiske rammer for 2021</t>
  </si>
  <si>
    <t>Base for driftsomkostninger til de vejledende økonomiske rammer for 2024</t>
  </si>
  <si>
    <t>Vejledende generelt effektiviseringskrav til driftsomkostningerne i ØR24</t>
  </si>
  <si>
    <t>Base for anlægsomkostninger til de vejledende økonomiske rammer for 2024</t>
  </si>
  <si>
    <t>Vejledende generelt effektiviseringskrav til anlægsomkostningerne i ØR24</t>
  </si>
  <si>
    <t>Kontrol med overholdelse af økonomiske rammer</t>
  </si>
  <si>
    <t>Kontrol med overholdelse af økonomiske ramme</t>
  </si>
  <si>
    <t>Kontrol med de økonomiske rammer til indregning</t>
  </si>
  <si>
    <t>Videreførte omkostninger fra den økonomiske ramme for 2024</t>
  </si>
  <si>
    <t>Økonomisk ramme for 2025</t>
  </si>
  <si>
    <t>Generelt effektiviseringskrav til driftsomkostninger i de økonomiske rammer for 2022</t>
  </si>
  <si>
    <t>Generelt effektiviseringskrav til anlægsomkostninger i de økonomiske rammer for 2022</t>
  </si>
  <si>
    <t>Generelt effektiviseringskrav til anlægsomkostningerne i ØR22</t>
  </si>
  <si>
    <t>Periodevise driftsomkostninger til de økonomiske rammer for 2025</t>
  </si>
  <si>
    <t>Periodevise driftsomkostninger i alt i 2025-prisniveau</t>
  </si>
  <si>
    <t>Generelt effektiviseringskrav til brug for nye anlægsomkostninger i ØR2022</t>
  </si>
  <si>
    <t>Generelt effektiviseringskrav til anlægsomkostninger i de økonomiske rammer for 2020</t>
  </si>
  <si>
    <t>Generelt effektiviseringskrav til driftsomkostninger i de økonomiske rammer for 2023</t>
  </si>
  <si>
    <t>Generelt effektiviseringskrav til driftsomkostninger i de økonomiske rammer for 2017</t>
  </si>
  <si>
    <t>Driftsomkostninger i grundlaget til de økonomiske rammer for 2017</t>
  </si>
  <si>
    <t>Periodevise driftsomkostninger i den økonomiske ramme for 2017</t>
  </si>
  <si>
    <t>Generelt effektiviseringskrav til driftsomkostningerne i ØR17</t>
  </si>
  <si>
    <t>Base for driftsomkostninger til de økonomiske rammer for 2018</t>
  </si>
  <si>
    <t>Nye driftsomkostninger til de økonomiske rammer for 2018</t>
  </si>
  <si>
    <t>- Heraf nye driftsomkostninger til de økonomiske rammer for 2019</t>
  </si>
  <si>
    <t>Base for driftsomkostninger til de vejledende økonomiske rammer for 2025</t>
  </si>
  <si>
    <t>Vejledende generelt effektiviseringskrav til driftsomkostningerne i ØR25</t>
  </si>
  <si>
    <t>Generelt effektiviseringskrav til anlægsomkostningerne i ØR17</t>
  </si>
  <si>
    <t>Generelt effektiviseringskrav til driftsomkostningerne i ØR22</t>
  </si>
  <si>
    <t>Nye driftsomkostninger til de økonomiske rammer for 2022</t>
  </si>
  <si>
    <t>Base for driftsomkostninger til de økonomiske rammer for 2022</t>
  </si>
  <si>
    <t>Generelt effektiviseringskrav til anlægsomkostninger i de økonomiske rammer for 2017</t>
  </si>
  <si>
    <t>Anlægssomkostninger i grundlaget til de økonomiske rammer for 2017</t>
  </si>
  <si>
    <t>Base for anlægsomkostninger til de økonomiske rammer for 2018</t>
  </si>
  <si>
    <t>-Heraf nye anlægsomkostninger til de økonomiske rammer for 2019</t>
  </si>
  <si>
    <t>- Heraf nye anlægsomkostninger til de økonomiske rammer for 2019</t>
  </si>
  <si>
    <t>Base for anlægsomkostninger til de vejledende økonomiske rammer for 2022</t>
  </si>
  <si>
    <t>Vejledende generelt effektiviseringskrav til anlægsomkostningerne i ØR25</t>
  </si>
  <si>
    <t>Base for driftsomkostninger til de økonomiske rammer for 2023</t>
  </si>
  <si>
    <t>Generelt effektiviseringskrav til driftsomkostningerne i ØR23</t>
  </si>
  <si>
    <t>Generelt effektiviseringskrav til anlægsomkostningerne i ØR23</t>
  </si>
  <si>
    <t xml:space="preserve">Indtægter fra tilbagebetalt skat eller sambeskatningsbidrag som følge af skattesagen </t>
  </si>
  <si>
    <t xml:space="preserve">Nedsættelse af økonomisk ramme som følge af skattesagen </t>
  </si>
  <si>
    <t>Prisudvikling til brug for ØR2017</t>
  </si>
  <si>
    <t>Generelt effektiviseringskrav til brug for anlægsomkostninger i ØR2017</t>
  </si>
  <si>
    <t>Tidligere opgjorte over/underdækninger</t>
  </si>
  <si>
    <t>Over/underdækning i 2018</t>
  </si>
  <si>
    <t>Over/underdækning i 2019</t>
  </si>
  <si>
    <t>Prisudvikling til brug for ØR2022-2023</t>
  </si>
  <si>
    <t>Kontrol med overholdelse af den økonomiske ramme</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</si>
  <si>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</si>
  <si>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</si>
  <si>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</si>
  <si>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</si>
  <si>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</si>
  <si>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</si>
  <si>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2025</t>
  </si>
  <si>
    <t>Vejledende generelt effektiviseringskrav til anlægsomkostningerne i ØR26</t>
  </si>
  <si>
    <t>Over/underdækning i 2020</t>
  </si>
  <si>
    <t>Nye tillæg i alt i 2022-prisniveau</t>
  </si>
  <si>
    <t>Periodevise driftsomkostninger til de økonomiske rammer for 2026</t>
  </si>
  <si>
    <t>Periodevise driftsomkostninger i alt i 2026-prisniveau</t>
  </si>
  <si>
    <t>Tilknyttet virksomhed under hovedvirksomheden i alt (2022-prisniveau)</t>
  </si>
  <si>
    <t>Prisudvikling til brug for ØR2023-2024</t>
  </si>
  <si>
    <t>Generelt effektiviseringskrav til brug for nye anlægsomkostninger i ØR2023</t>
  </si>
  <si>
    <t>Anlægsprojekter igangsat senest den 1. marts 2016</t>
  </si>
  <si>
    <t>Anlægsprojekter igangsat senest den 1. marts 2016 i alt</t>
  </si>
  <si>
    <t>Nye driftsomkostninger til de økonomiske rammer for 2023</t>
  </si>
  <si>
    <t>Generelt effektiviseringskrav til anlægsomkostninger i de økonomiske rammer for 2023</t>
  </si>
  <si>
    <t>Anlægsprojekter igangsat senest 1. marts 2016</t>
  </si>
  <si>
    <t>Nye varige anlægsomkostninger i de økonomiske rammer for 2023</t>
  </si>
  <si>
    <t>Effektiviseringskrav (generelt og individuelt) –  Drift</t>
  </si>
  <si>
    <t>Effektiviseringskrav (generelt og individuelt) –  Anlæg</t>
  </si>
  <si>
    <t xml:space="preserve">Anlægsprojekter (§ 19) </t>
  </si>
  <si>
    <t>Omkostninger i 2021</t>
  </si>
  <si>
    <t>Anskaffelses-pris</t>
  </si>
  <si>
    <t xml:space="preserve">kr. </t>
  </si>
  <si>
    <t>Drifts-omkostninger</t>
  </si>
  <si>
    <t>Skattesagen</t>
  </si>
  <si>
    <t>Fane 8: Indtægter til tilbagebetaling som følge af skattesagen</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</si>
  <si>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</si>
  <si>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</si>
  <si>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</si>
  <si>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</si>
  <si>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</si>
  <si>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</si>
  <si>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</si>
  <si>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</si>
  <si>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</si>
  <si>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</si>
  <si>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</si>
  <si>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</si>
  <si>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</si>
  <si>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</si>
  <si>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</si>
  <si>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</si>
  <si>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</si>
  <si>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</si>
  <si>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Fane 10</t>
  </si>
  <si>
    <t>Fane 11.1</t>
  </si>
  <si>
    <t>Fane 11.2</t>
  </si>
  <si>
    <t>Fane 15</t>
  </si>
  <si>
    <t>Tillæg til den økonomiske ramme for 2024</t>
  </si>
  <si>
    <t>Tillæg til den økonomiske ramme for 2025</t>
  </si>
  <si>
    <t>Tillæg til den økonomiske ramme for 2026</t>
  </si>
  <si>
    <t>Samlet økonomisk ramme for 2024</t>
  </si>
  <si>
    <t>Omkostninger i ØR2023</t>
  </si>
  <si>
    <t>Kontrol af den økonomiske ramme for 2022</t>
  </si>
  <si>
    <t>Korrektion af den økonomiske ramme for 2022</t>
  </si>
  <si>
    <t>Samlet økonomisk ramme for 2025</t>
  </si>
  <si>
    <t>Fane 2.2: Samlet økonomisk ramme for 2025</t>
  </si>
  <si>
    <t>Prisudvikling til brug for ØR2024-2025</t>
  </si>
  <si>
    <t>Generelt effektiviseringskrav til brug for nye anlægsomkostninger i ØR2024</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</si>
  <si>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</si>
  <si>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</si>
  <si>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</si>
  <si>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</si>
  <si>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</si>
  <si>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Base for anlægsomkostninger til de vejledende økonomiske rammer for 2026</t>
  </si>
  <si>
    <t>Nye varige anlægsomkostninger til de økonomiske rammer for 2018</t>
  </si>
  <si>
    <t>Nye varige anlægsomkostninger til de økonomiske rammer for 2019</t>
  </si>
  <si>
    <t>Nye varige anlægsomkostninger til de økonomiske rammer for 2020</t>
  </si>
  <si>
    <t>Nye varige anlægsomkostninger til de økonomiske rammer for 2021</t>
  </si>
  <si>
    <t>Nye varige anlægsomkostninger til de økonomiske rammer for 2022</t>
  </si>
  <si>
    <t>Nye varige anlægsomkostninger i de økonomiske rammer for 2024</t>
  </si>
  <si>
    <t>Fane 3: Videreførte omkostninger fra den økonomiske ramme for 2023</t>
  </si>
  <si>
    <t>Oversigt over den økonomiske ramme for 2023</t>
  </si>
  <si>
    <t>Videreførte omkostninger fra den økonomiske ramme for 2022</t>
  </si>
  <si>
    <t>Generelt effektiviseringskrav til driftsomkostninger i de vejledende økonomiske rammer for 2027</t>
  </si>
  <si>
    <t>Nye driftsomkostninger til de økonomiske rammer for 2024</t>
  </si>
  <si>
    <t>Fane 2.1: Samlet økonomisk ramme for 2024</t>
  </si>
  <si>
    <t>Periodevise driftsomkostninger til de økonomiske rammer for 2027</t>
  </si>
  <si>
    <t>Periodevise driftsomkostninger i alt i 2027-prisniveau</t>
  </si>
  <si>
    <t>Periodevise driftsomkostninger i alt i 2022-prisniveau</t>
  </si>
  <si>
    <t>Fane 2.4: Samlet økonomisk ramme for 2027</t>
  </si>
  <si>
    <t>Fane 2.3: Samlet økonomisk ramme for 2026</t>
  </si>
  <si>
    <t>Til økonomiske rammer for 2024-2025</t>
  </si>
  <si>
    <t>Videreførte omkostninger fra den økonomiske ramme for 2026</t>
  </si>
  <si>
    <t>Økonomisk ramme for 2027</t>
  </si>
  <si>
    <t>Generelt effektiviseringskrav til driftsomkostninger i de økonomiske rammer for 2024</t>
  </si>
  <si>
    <t>Generelt effektiviseringskrav til driftsomkostninger i de økonomiske rammer for 2025</t>
  </si>
  <si>
    <t>Generelt effektiviseringskrav til anlægsomkostninger i de økonomiske rammer for 2024</t>
  </si>
  <si>
    <t>Generelt effektiviseringskrav til anlægsomkostninger i de økonomiske rammer for 2025</t>
  </si>
  <si>
    <t>Tillæg til den økonomiske ramme for 2027</t>
  </si>
  <si>
    <t>Faktiske ikke-påvirkelige omkostninger i 2022</t>
  </si>
  <si>
    <t>Ikke-påvirkelige omkostninger i 2022-prisniveau</t>
  </si>
  <si>
    <t>Ikke-påvirkelige omkostninger i 2024-prisniveau</t>
  </si>
  <si>
    <t>Nye tillæg i alt i 2023-prisniveau</t>
  </si>
  <si>
    <t>Engangstillæg i alt i 2022-prisniveau</t>
  </si>
  <si>
    <t>Engangstillæg i alt i 2024-prisniveau</t>
  </si>
  <si>
    <t>Tilknyttet virksomhed under hovedvirksomheden i alt (2023-prisniveau)</t>
  </si>
  <si>
    <t>Bortfald eller nedsættelse fra og med den økonomiske ramme for 2024</t>
  </si>
  <si>
    <t>Bortfald eller nedsættelse i alt i 2023-prisniveau</t>
  </si>
  <si>
    <t>Vejledende økonomisk ramme for 2026</t>
  </si>
  <si>
    <t>Vejledende økonomisk ramme for 2027</t>
  </si>
  <si>
    <t>Note: Beregningen af jeres individuelle effektiviseringskrav fremgår af metodepapir samt bilag til benchmarkingmodellen 2024.</t>
  </si>
  <si>
    <t>Ingen anlægsprojekter</t>
  </si>
  <si>
    <t>- Heraf nye omkostninger i 2022 - Drift</t>
  </si>
  <si>
    <t>- Heraf nye omkostninger i 2022 - Anlæg</t>
  </si>
  <si>
    <t>Korrektion af den økonomiske ramme for 2021</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</si>
  <si>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</si>
  <si>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</si>
  <si>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</si>
  <si>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</si>
  <si>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Individuelt effektiviseringskrav til de økonomiske rammer for 2024-2025</t>
  </si>
  <si>
    <t>Spildevandsafgift</t>
  </si>
  <si>
    <t>Afgift til Forsyningssekretariatet</t>
  </si>
  <si>
    <t>Køb af ydelser og produkter fra andre vandselskaber reguleret af vandsektorloven</t>
  </si>
  <si>
    <t>Ejendomsskatter</t>
  </si>
  <si>
    <t>Tjenestemandspensioner</t>
  </si>
  <si>
    <t>Fane 9: Korrektioner af den økonomiske ramme for 2022</t>
  </si>
  <si>
    <t>Korrektion af periodevise driftsomkostninger i de økonomiske rammer for 2022</t>
  </si>
  <si>
    <t>Faktisk periodevis driftsomkostning i 2022</t>
  </si>
  <si>
    <t>Tidligere godkendt tillæg indregnet i den økonomiske ramme for 2022</t>
  </si>
  <si>
    <t>Faktisk omkostning til medfinansiering af klimatilpasningsprojekter i 2022</t>
  </si>
  <si>
    <t>Korrektioner af den økonomiske ramme for 2022 i alt</t>
  </si>
  <si>
    <t>Fane 7: Kontrol med overholdelse af den økonomiske ramme for 2022</t>
  </si>
  <si>
    <t>Over/underdækning i 2021</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</si>
  <si>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</si>
  <si>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2024-2025 vedr. overdækning i 2021</t>
  </si>
  <si>
    <t>Evt. overdækning i 2021</t>
  </si>
  <si>
    <t>Evt. underdækning i 2020, 2019, 2018</t>
  </si>
  <si>
    <t>Fradrag i de økonomiske rammer for 2024-2025 vedr. en evt. overdækning i 2021</t>
  </si>
  <si>
    <t>Kontrol med overholdelse af den økonomiske ramme for 2022</t>
  </si>
  <si>
    <t>Indtægtsramme i den økonomiske ramme for 2022</t>
  </si>
  <si>
    <t>Faktiske indtægter i 2022</t>
  </si>
  <si>
    <t>Resultat af kontrol med overholdelse af den økonomiske rammer for 2022</t>
  </si>
  <si>
    <t>Samlet fradrag til indregning i de økonomiske rammer for 2024-2025</t>
  </si>
  <si>
    <t>Overløb</t>
  </si>
  <si>
    <t>Separatkloakering</t>
  </si>
  <si>
    <t>Sorte Sø</t>
  </si>
  <si>
    <t>Omlægning - Blegindvej i Hørning, Stitunnel</t>
  </si>
  <si>
    <t>Udvidelse af forsyningsområdet</t>
  </si>
  <si>
    <t>Fejlkoblinger</t>
  </si>
  <si>
    <t>PFAS</t>
  </si>
  <si>
    <t xml:space="preserve">Bassinoprensning er er en ny aktivitet </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</si>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</sst>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b/>
      <sz val="14"/>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74">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14" fillId="2" borderId="0" xfId="0" applyFont="1" applyFill="1" applyAlignment="1" applyProtection="1">
      <alignment horizontal="center"/>
    </xf>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7" fillId="2" borderId="0"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7" fillId="3" borderId="1" xfId="0" applyFont="1" applyFill="1" applyBorder="1" applyAlignment="1" applyProtection="1"/>
    <xf numFmtId="0" fontId="8" fillId="4" borderId="2" xfId="0" applyFont="1" applyFill="1" applyBorder="1" applyAlignment="1" applyProtection="1"/>
    <xf numFmtId="1" fontId="8" fillId="0" borderId="1" xfId="0" applyNumberFormat="1" applyFont="1" applyFill="1" applyBorder="1" applyProtection="1"/>
    <xf numFmtId="49" fontId="8" fillId="8" borderId="2" xfId="0" applyNumberFormat="1" applyFont="1" applyFill="1" applyBorder="1" applyAlignment="1" applyProtection="1">
      <alignment horizontal="left"/>
    </xf>
    <xf numFmtId="3" fontId="15" fillId="8" borderId="1" xfId="0" applyNumberFormat="1" applyFont="1" applyFill="1" applyBorder="1" applyProtection="1"/>
    <xf numFmtId="0" fontId="8" fillId="8" borderId="4" xfId="0" applyFont="1" applyFill="1" applyBorder="1" applyAlignment="1" applyProtection="1">
      <alignment horizontal="left" wrapText="1"/>
    </xf>
    <xf numFmtId="3" fontId="0" fillId="2" borderId="0" xfId="0" applyNumberFormat="1" applyFill="1" applyProtection="1"/>
    <xf numFmtId="0" fontId="0" fillId="0" borderId="0" xfId="0" applyFill="1" applyProtection="1"/>
    <xf numFmtId="3" fontId="8" fillId="0" borderId="1" xfId="0" applyNumberFormat="1" applyFont="1" applyFill="1" applyBorder="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0" fillId="8" borderId="0" xfId="0" applyFill="1" applyProtection="1"/>
    <xf numFmtId="0" fontId="8" fillId="8" borderId="2" xfId="0" applyFont="1" applyFill="1" applyBorder="1" applyAlignment="1" applyProtection="1"/>
    <xf numFmtId="165" fontId="7" fillId="3" borderId="6" xfId="1" applyNumberFormat="1" applyFont="1" applyFill="1" applyBorder="1" applyAlignment="1" applyProtection="1"/>
    <xf numFmtId="165" fontId="0" fillId="2" borderId="0" xfId="1" applyNumberFormat="1" applyFont="1" applyFill="1" applyProtection="1"/>
    <xf numFmtId="165" fontId="7" fillId="2" borderId="0" xfId="1" applyNumberFormat="1" applyFont="1" applyFill="1" applyBorder="1" applyAlignment="1" applyProtection="1"/>
    <xf numFmtId="165" fontId="0" fillId="0" borderId="0" xfId="1" applyNumberFormat="1" applyFont="1" applyProtection="1"/>
    <xf numFmtId="10" fontId="8" fillId="0" borderId="1" xfId="4" applyNumberFormat="1" applyFont="1" applyFill="1" applyBorder="1" applyAlignment="1" applyProtection="1"/>
    <xf numFmtId="165" fontId="8" fillId="8" borderId="1" xfId="1" applyNumberFormat="1" applyFont="1" applyFill="1" applyBorder="1" applyProtection="1"/>
    <xf numFmtId="165" fontId="8" fillId="8" borderId="1" xfId="0" applyNumberFormat="1" applyFont="1" applyFill="1" applyBorder="1" applyProtection="1"/>
    <xf numFmtId="165" fontId="7" fillId="3" borderId="2" xfId="0" applyNumberFormat="1" applyFont="1" applyFill="1" applyBorder="1" applyAlignment="1" applyProtection="1"/>
    <xf numFmtId="165" fontId="7" fillId="3" borderId="6" xfId="0" applyNumberFormat="1" applyFont="1" applyFill="1" applyBorder="1" applyAlignment="1" applyProtection="1"/>
    <xf numFmtId="165" fontId="7" fillId="3" borderId="3" xfId="0" applyNumberFormat="1" applyFont="1" applyFill="1" applyBorder="1" applyAlignment="1" applyProtection="1"/>
    <xf numFmtId="165" fontId="0" fillId="2" borderId="0" xfId="0" applyNumberFormat="1" applyFill="1" applyProtection="1"/>
    <xf numFmtId="165" fontId="8" fillId="0" borderId="1" xfId="1" applyNumberFormat="1" applyFont="1" applyFill="1" applyBorder="1" applyProtection="1"/>
    <xf numFmtId="165" fontId="7" fillId="2" borderId="0" xfId="0" applyNumberFormat="1" applyFont="1" applyFill="1" applyBorder="1" applyAlignment="1" applyProtection="1"/>
    <xf numFmtId="165" fontId="7" fillId="3" borderId="6" xfId="1" applyNumberFormat="1" applyFont="1" applyFill="1" applyBorder="1" applyAlignment="1" applyProtection="1">
      <alignment horizontal="left"/>
    </xf>
    <xf numFmtId="10" fontId="8" fillId="0" borderId="3" xfId="4" applyNumberFormat="1" applyFont="1" applyFill="1" applyBorder="1" applyProtection="1"/>
    <xf numFmtId="0" fontId="8" fillId="8" borderId="2" xfId="0" quotePrefix="1" applyFont="1" applyFill="1" applyBorder="1" applyAlignment="1" applyProtection="1">
      <alignment wrapText="1"/>
    </xf>
    <xf numFmtId="0" fontId="8" fillId="8" borderId="2" xfId="0" applyFont="1" applyFill="1" applyBorder="1" applyAlignment="1" applyProtection="1">
      <alignment wrapText="1"/>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wrapText="1"/>
    </xf>
    <xf numFmtId="166" fontId="8" fillId="8" borderId="1" xfId="1" applyNumberFormat="1" applyFont="1" applyFill="1" applyBorder="1" applyProtection="1"/>
    <xf numFmtId="166" fontId="8" fillId="0" borderId="1" xfId="1" applyNumberFormat="1" applyFont="1" applyFill="1" applyBorder="1" applyProtection="1"/>
    <xf numFmtId="3" fontId="8" fillId="4" borderId="3"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165" fontId="8" fillId="8" borderId="2" xfId="0" applyNumberFormat="1" applyFont="1" applyFill="1" applyBorder="1" applyAlignment="1" applyProtection="1">
      <alignment horizontal="left"/>
    </xf>
    <xf numFmtId="165" fontId="8" fillId="8" borderId="6" xfId="0" applyNumberFormat="1" applyFont="1" applyFill="1" applyBorder="1" applyAlignment="1" applyProtection="1">
      <alignment horizontal="left"/>
    </xf>
    <xf numFmtId="165" fontId="8" fillId="8" borderId="3" xfId="0" applyNumberFormat="1" applyFont="1" applyFill="1" applyBorder="1" applyAlignment="1" applyProtection="1">
      <alignment horizontal="left"/>
    </xf>
    <xf numFmtId="165" fontId="7" fillId="3" borderId="2" xfId="0" applyNumberFormat="1" applyFont="1" applyFill="1" applyBorder="1" applyAlignment="1" applyProtection="1">
      <alignment horizontal="left"/>
    </xf>
    <xf numFmtId="165" fontId="7" fillId="3" borderId="6" xfId="0" applyNumberFormat="1" applyFont="1" applyFill="1" applyBorder="1" applyAlignment="1" applyProtection="1">
      <alignment horizontal="left"/>
    </xf>
    <xf numFmtId="165" fontId="7" fillId="3" borderId="3" xfId="0" applyNumberFormat="1" applyFont="1" applyFill="1" applyBorder="1" applyAlignment="1" applyProtection="1">
      <alignment horizontal="left"/>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1" fillId="9" borderId="4" xfId="2" applyFont="1" applyFill="1" applyBorder="1" applyAlignment="1" applyProtection="1">
      <alignment horizontal="center"/>
    </xf>
    <xf numFmtId="0" fontId="1" fillId="9" borderId="0" xfId="2" applyFont="1" applyFill="1" applyBorder="1" applyAlignment="1" applyProtection="1">
      <alignment horizontal="center"/>
    </xf>
    <xf numFmtId="0" fontId="1" fillId="9" borderId="5"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7" fillId="3" borderId="2" xfId="0" applyFont="1" applyFill="1" applyBorder="1" applyAlignment="1" applyProtection="1">
      <alignment horizontal="left" wrapText="1"/>
    </xf>
    <xf numFmtId="0" fontId="7" fillId="3" borderId="6"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13" fillId="2" borderId="0" xfId="0" applyFont="1" applyFill="1" applyAlignment="1" applyProtection="1">
      <alignment horizontal="center"/>
    </xf>
    <xf numFmtId="0" fontId="8" fillId="0" borderId="7" xfId="0" applyFont="1" applyFill="1" applyBorder="1" applyAlignment="1" applyProtection="1">
      <alignment vertical="center" wrapText="1"/>
    </xf>
    <xf numFmtId="0" fontId="2" fillId="2" borderId="0" xfId="0" applyFont="1" applyFill="1" applyAlignment="1" applyProtection="1">
      <alignment horizontal="center" vertical="center" wrapText="1"/>
    </xf>
    <xf numFmtId="165" fontId="8" fillId="8" borderId="2" xfId="0" applyNumberFormat="1" applyFont="1" applyFill="1" applyBorder="1" applyAlignment="1" applyProtection="1"/>
    <xf numFmtId="165" fontId="8" fillId="8" borderId="6" xfId="0" applyNumberFormat="1" applyFont="1" applyFill="1" applyBorder="1" applyAlignment="1" applyProtection="1"/>
    <xf numFmtId="165" fontId="8" fillId="8" borderId="3" xfId="0" applyNumberFormat="1" applyFont="1" applyFill="1" applyBorder="1" applyAlignment="1" applyProtection="1"/>
    <xf numFmtId="165" fontId="8" fillId="8" borderId="2" xfId="0" applyNumberFormat="1" applyFont="1" applyFill="1" applyBorder="1" applyAlignment="1" applyProtection="1">
      <alignment horizontal="left"/>
    </xf>
    <xf numFmtId="165" fontId="8" fillId="8" borderId="6" xfId="0" applyNumberFormat="1" applyFont="1" applyFill="1" applyBorder="1" applyAlignment="1" applyProtection="1">
      <alignment horizontal="left"/>
    </xf>
    <xf numFmtId="165" fontId="8" fillId="8" borderId="3" xfId="0" applyNumberFormat="1" applyFont="1" applyFill="1" applyBorder="1" applyAlignment="1" applyProtection="1">
      <alignment horizontal="left"/>
    </xf>
    <xf numFmtId="165" fontId="7" fillId="3" borderId="2" xfId="0" applyNumberFormat="1" applyFont="1" applyFill="1" applyBorder="1" applyAlignment="1" applyProtection="1">
      <alignment horizontal="left"/>
    </xf>
    <xf numFmtId="165" fontId="7" fillId="3" borderId="6" xfId="0" applyNumberFormat="1" applyFont="1" applyFill="1" applyBorder="1" applyAlignment="1" applyProtection="1">
      <alignment horizontal="left"/>
    </xf>
    <xf numFmtId="165" fontId="7" fillId="3" borderId="3" xfId="0" applyNumberFormat="1" applyFont="1" applyFill="1" applyBorder="1" applyAlignment="1" applyProtection="1">
      <alignment horizontal="left"/>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165" fontId="8" fillId="8" borderId="2" xfId="0" applyNumberFormat="1" applyFont="1" applyFill="1" applyBorder="1" applyAlignment="1" applyProtection="1">
      <alignment horizontal="left" wrapText="1"/>
    </xf>
    <xf numFmtId="165" fontId="8" fillId="8" borderId="6" xfId="0" applyNumberFormat="1" applyFont="1" applyFill="1" applyBorder="1" applyAlignment="1" applyProtection="1">
      <alignment horizontal="left" wrapText="1"/>
    </xf>
    <xf numFmtId="165" fontId="8" fillId="8" borderId="3" xfId="0" applyNumberFormat="1" applyFont="1" applyFill="1" applyBorder="1" applyAlignment="1" applyProtection="1">
      <alignment horizontal="left" wrapText="1"/>
    </xf>
    <xf numFmtId="165" fontId="8" fillId="8" borderId="2" xfId="0" quotePrefix="1" applyNumberFormat="1" applyFont="1" applyFill="1" applyBorder="1" applyAlignment="1" applyProtection="1"/>
    <xf numFmtId="165" fontId="8" fillId="8" borderId="6" xfId="0" quotePrefix="1" applyNumberFormat="1" applyFont="1" applyFill="1" applyBorder="1" applyAlignment="1" applyProtection="1"/>
    <xf numFmtId="165" fontId="8" fillId="8" borderId="3" xfId="0" quotePrefix="1" applyNumberFormat="1" applyFont="1" applyFill="1" applyBorder="1" applyAlignment="1" applyProtection="1"/>
    <xf numFmtId="0" fontId="2" fillId="2" borderId="0" xfId="0" applyFont="1" applyFill="1" applyAlignment="1" applyProtection="1">
      <alignment horizontal="center" wrapText="1"/>
    </xf>
    <xf numFmtId="0" fontId="8" fillId="8" borderId="2" xfId="0" applyFont="1" applyFill="1" applyBorder="1" applyAlignment="1" applyProtection="1">
      <alignment horizontal="left" vertical="center" wrapText="1"/>
    </xf>
    <xf numFmtId="0" fontId="8" fillId="8" borderId="6" xfId="0" applyFont="1" applyFill="1" applyBorder="1" applyAlignment="1" applyProtection="1">
      <alignment horizontal="left" vertical="center" wrapText="1"/>
    </xf>
    <xf numFmtId="0" fontId="8" fillId="8" borderId="3" xfId="0" applyFont="1" applyFill="1" applyBorder="1" applyAlignment="1" applyProtection="1">
      <alignment horizontal="left"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7" fillId="3" borderId="1" xfId="0" applyFont="1" applyFill="1" applyBorder="1" applyAlignment="1" applyProtection="1">
      <alignment horizontal="left"/>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 defaultRowHeight="15" x14ac:dyDescent="0.25"/>
  <cols>
    <col min="1" max="1" width="9" style="2"/>
    <col min="2" max="2" width="5.85546875" style="2" customWidth="1"/>
    <col min="3" max="4" width="9" style="2"/>
    <col min="5" max="5" width="11.7109375" style="2" customWidth="1"/>
    <col min="6" max="6" width="11.5703125" style="2" customWidth="1"/>
    <col min="7" max="8" width="9" style="2"/>
    <col min="9" max="9" width="12" style="2" customWidth="1"/>
    <col min="10" max="16384" width="9"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106" t="s">
        <v>4</v>
      </c>
      <c r="E6" s="106"/>
      <c r="F6" s="106"/>
      <c r="G6" s="106"/>
      <c r="H6" s="3"/>
      <c r="I6" s="1"/>
    </row>
    <row r="7" spans="1:9" ht="15" customHeight="1" x14ac:dyDescent="0.25">
      <c r="A7" s="1"/>
      <c r="B7" s="1"/>
      <c r="C7" s="3"/>
      <c r="D7" s="106"/>
      <c r="E7" s="106"/>
      <c r="F7" s="106"/>
      <c r="G7" s="106"/>
      <c r="H7" s="3"/>
      <c r="I7" s="1"/>
    </row>
    <row r="8" spans="1:9" ht="15.75" x14ac:dyDescent="0.25">
      <c r="A8" s="1"/>
      <c r="B8" s="1"/>
      <c r="C8" s="4"/>
      <c r="D8" s="108" t="s">
        <v>250</v>
      </c>
      <c r="E8" s="108"/>
      <c r="F8" s="108"/>
      <c r="G8" s="108"/>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107" t="s">
        <v>5</v>
      </c>
      <c r="E11" s="107"/>
      <c r="F11" s="107"/>
      <c r="G11" s="107"/>
      <c r="H11" s="5"/>
      <c r="I11" s="1"/>
    </row>
    <row r="12" spans="1:9" x14ac:dyDescent="0.25">
      <c r="A12" s="1"/>
      <c r="B12" s="1"/>
      <c r="C12" s="1"/>
      <c r="D12" s="1"/>
      <c r="E12" s="1"/>
      <c r="F12" s="1"/>
      <c r="G12" s="1"/>
      <c r="H12" s="1"/>
      <c r="I12" s="1"/>
    </row>
    <row r="13" spans="1:9" x14ac:dyDescent="0.25">
      <c r="A13" s="1"/>
      <c r="B13" s="1"/>
      <c r="C13" s="6" t="s">
        <v>6</v>
      </c>
      <c r="D13" s="109" t="s">
        <v>219</v>
      </c>
      <c r="E13" s="110"/>
      <c r="F13" s="110"/>
      <c r="G13" s="111"/>
      <c r="H13" s="1"/>
      <c r="I13" s="1"/>
    </row>
    <row r="14" spans="1:9" x14ac:dyDescent="0.25">
      <c r="A14" s="1"/>
      <c r="B14" s="1"/>
      <c r="C14" s="6" t="s">
        <v>16</v>
      </c>
      <c r="D14" s="109" t="s">
        <v>223</v>
      </c>
      <c r="E14" s="110"/>
      <c r="F14" s="110"/>
      <c r="G14" s="111"/>
      <c r="H14" s="1"/>
      <c r="I14" s="1"/>
    </row>
    <row r="15" spans="1:9" x14ac:dyDescent="0.25">
      <c r="A15" s="1"/>
      <c r="B15" s="1"/>
      <c r="C15" s="6" t="s">
        <v>32</v>
      </c>
      <c r="D15" s="109" t="s">
        <v>267</v>
      </c>
      <c r="E15" s="110"/>
      <c r="F15" s="110"/>
      <c r="G15" s="111"/>
      <c r="H15" s="1"/>
      <c r="I15" s="1"/>
    </row>
    <row r="16" spans="1:9" x14ac:dyDescent="0.25">
      <c r="A16" s="1"/>
      <c r="B16" s="1"/>
      <c r="C16" s="6" t="s">
        <v>33</v>
      </c>
      <c r="D16" s="109" t="s">
        <v>268</v>
      </c>
      <c r="E16" s="110"/>
      <c r="F16" s="110"/>
      <c r="G16" s="111"/>
      <c r="H16" s="1"/>
      <c r="I16" s="1"/>
    </row>
    <row r="17" spans="1:9" x14ac:dyDescent="0.25">
      <c r="A17" s="1"/>
      <c r="B17" s="1"/>
      <c r="C17" s="6" t="s">
        <v>100</v>
      </c>
      <c r="D17" s="109" t="s">
        <v>220</v>
      </c>
      <c r="E17" s="110"/>
      <c r="F17" s="110"/>
      <c r="G17" s="111"/>
      <c r="H17" s="1"/>
      <c r="I17" s="1"/>
    </row>
    <row r="18" spans="1:9" x14ac:dyDescent="0.25">
      <c r="A18" s="1"/>
      <c r="B18" s="1"/>
      <c r="C18" s="6" t="s">
        <v>85</v>
      </c>
      <c r="D18" s="112" t="s">
        <v>75</v>
      </c>
      <c r="E18" s="113"/>
      <c r="F18" s="113"/>
      <c r="G18" s="114"/>
      <c r="H18" s="1"/>
      <c r="I18" s="1"/>
    </row>
    <row r="19" spans="1:9" x14ac:dyDescent="0.25">
      <c r="A19" s="1"/>
      <c r="B19" s="1"/>
      <c r="C19" s="6" t="s">
        <v>86</v>
      </c>
      <c r="D19" s="112" t="s">
        <v>76</v>
      </c>
      <c r="E19" s="113"/>
      <c r="F19" s="113"/>
      <c r="G19" s="114"/>
      <c r="H19" s="1"/>
      <c r="I19" s="1"/>
    </row>
    <row r="20" spans="1:9" x14ac:dyDescent="0.25">
      <c r="A20" s="1"/>
      <c r="B20" s="1"/>
      <c r="C20" s="6" t="s">
        <v>7</v>
      </c>
      <c r="D20" s="112" t="s">
        <v>10</v>
      </c>
      <c r="E20" s="113"/>
      <c r="F20" s="113"/>
      <c r="G20" s="114"/>
      <c r="H20" s="1"/>
      <c r="I20" s="1"/>
    </row>
    <row r="21" spans="1:9" x14ac:dyDescent="0.25">
      <c r="A21" s="1"/>
      <c r="B21" s="1"/>
      <c r="C21" s="6" t="s">
        <v>87</v>
      </c>
      <c r="D21" s="100" t="s">
        <v>12</v>
      </c>
      <c r="E21" s="101"/>
      <c r="F21" s="101"/>
      <c r="G21" s="102"/>
      <c r="H21" s="1"/>
      <c r="I21" s="1"/>
    </row>
    <row r="22" spans="1:9" x14ac:dyDescent="0.25">
      <c r="A22" s="1"/>
      <c r="B22" s="1"/>
      <c r="C22" s="6" t="s">
        <v>67</v>
      </c>
      <c r="D22" s="103" t="s">
        <v>221</v>
      </c>
      <c r="E22" s="104"/>
      <c r="F22" s="104"/>
      <c r="G22" s="105"/>
      <c r="H22" s="1"/>
      <c r="I22" s="1"/>
    </row>
    <row r="23" spans="1:9" x14ac:dyDescent="0.25">
      <c r="A23" s="1"/>
      <c r="B23" s="1"/>
      <c r="C23" s="6" t="s">
        <v>8</v>
      </c>
      <c r="D23" s="103" t="s">
        <v>192</v>
      </c>
      <c r="E23" s="104"/>
      <c r="F23" s="104"/>
      <c r="G23" s="105"/>
      <c r="H23" s="1"/>
      <c r="I23" s="1"/>
    </row>
    <row r="24" spans="1:9" x14ac:dyDescent="0.25">
      <c r="A24" s="1"/>
      <c r="B24" s="1"/>
      <c r="C24" s="6" t="s">
        <v>9</v>
      </c>
      <c r="D24" s="103" t="s">
        <v>222</v>
      </c>
      <c r="E24" s="104"/>
      <c r="F24" s="104"/>
      <c r="G24" s="105"/>
      <c r="H24" s="1"/>
      <c r="I24" s="1"/>
    </row>
    <row r="25" spans="1:9" x14ac:dyDescent="0.25">
      <c r="A25" s="1"/>
      <c r="B25" s="1"/>
      <c r="C25" s="6" t="s">
        <v>212</v>
      </c>
      <c r="D25" s="103" t="s">
        <v>187</v>
      </c>
      <c r="E25" s="104"/>
      <c r="F25" s="104"/>
      <c r="G25" s="105"/>
      <c r="H25" s="1"/>
      <c r="I25" s="1"/>
    </row>
    <row r="26" spans="1:9" x14ac:dyDescent="0.25">
      <c r="A26" s="1"/>
      <c r="B26" s="1"/>
      <c r="C26" s="6" t="s">
        <v>213</v>
      </c>
      <c r="D26" s="103" t="s">
        <v>68</v>
      </c>
      <c r="E26" s="104"/>
      <c r="F26" s="104"/>
      <c r="G26" s="105"/>
      <c r="H26" s="1"/>
      <c r="I26" s="1"/>
    </row>
    <row r="27" spans="1:9" x14ac:dyDescent="0.25">
      <c r="A27" s="1"/>
      <c r="B27" s="1"/>
      <c r="C27" s="6" t="s">
        <v>214</v>
      </c>
      <c r="D27" s="103" t="s">
        <v>69</v>
      </c>
      <c r="E27" s="104"/>
      <c r="F27" s="104"/>
      <c r="G27" s="105"/>
      <c r="H27" s="1"/>
      <c r="I27" s="1"/>
    </row>
    <row r="28" spans="1:9" x14ac:dyDescent="0.25">
      <c r="A28" s="1"/>
      <c r="B28" s="1"/>
      <c r="C28" s="6" t="s">
        <v>15</v>
      </c>
      <c r="D28" s="103" t="s">
        <v>70</v>
      </c>
      <c r="E28" s="104"/>
      <c r="F28" s="104"/>
      <c r="G28" s="105"/>
      <c r="H28" s="1"/>
      <c r="I28" s="1"/>
    </row>
    <row r="29" spans="1:9" x14ac:dyDescent="0.25">
      <c r="A29" s="1"/>
      <c r="B29" s="1"/>
      <c r="C29" s="6" t="s">
        <v>35</v>
      </c>
      <c r="D29" s="103" t="s">
        <v>103</v>
      </c>
      <c r="E29" s="104"/>
      <c r="F29" s="104"/>
      <c r="G29" s="105"/>
      <c r="H29" s="1"/>
      <c r="I29" s="1"/>
    </row>
    <row r="30" spans="1:9" x14ac:dyDescent="0.25">
      <c r="A30" s="1"/>
      <c r="B30" s="1"/>
      <c r="C30" s="6" t="s">
        <v>36</v>
      </c>
      <c r="D30" s="103" t="s">
        <v>34</v>
      </c>
      <c r="E30" s="104"/>
      <c r="F30" s="104"/>
      <c r="G30" s="105"/>
      <c r="H30" s="1"/>
      <c r="I30" s="1"/>
    </row>
    <row r="31" spans="1:9" x14ac:dyDescent="0.25">
      <c r="A31" s="1"/>
      <c r="B31" s="1"/>
      <c r="C31" s="6" t="s">
        <v>215</v>
      </c>
      <c r="D31" s="97" t="s">
        <v>84</v>
      </c>
      <c r="E31" s="98"/>
      <c r="F31" s="98"/>
      <c r="G31" s="99"/>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39"/>
      <c r="B51" s="39"/>
      <c r="C51" s="39"/>
      <c r="D51" s="39"/>
      <c r="E51" s="39"/>
      <c r="F51" s="39"/>
      <c r="G51" s="39"/>
      <c r="H51" s="39"/>
      <c r="I51" s="39"/>
    </row>
  </sheetData>
  <sheetProtection algorithmName="SHA-512" hashValue="DQcoC/qLEKaACpoLtXEkEV4pp8lhc3vmyL8PjIRqX5vFImp0KC/c/+jaWVIvAN/AbE/BkQ/tuv7Cw6AzVp/Y6Q==" saltValue="2KDUSgsRCOf6kFiNKC+8xA==" spinCount="100000" sheet="1" objects="1" scenarios="1"/>
  <mergeCells count="22">
    <mergeCell ref="D6:G7"/>
    <mergeCell ref="D22:G22"/>
    <mergeCell ref="D11:G11"/>
    <mergeCell ref="D8:G8"/>
    <mergeCell ref="D15:G15"/>
    <mergeCell ref="D16:G16"/>
    <mergeCell ref="D13:G13"/>
    <mergeCell ref="D17:G17"/>
    <mergeCell ref="D18:G18"/>
    <mergeCell ref="D19:G19"/>
    <mergeCell ref="D20:G20"/>
    <mergeCell ref="D14:G14"/>
    <mergeCell ref="D31:G31"/>
    <mergeCell ref="D21:G21"/>
    <mergeCell ref="D25:G25"/>
    <mergeCell ref="D26:G26"/>
    <mergeCell ref="D29:G29"/>
    <mergeCell ref="D27:G27"/>
    <mergeCell ref="D28:G28"/>
    <mergeCell ref="D24:G24"/>
    <mergeCell ref="D30:G30"/>
    <mergeCell ref="D23:G23"/>
  </mergeCells>
  <hyperlinks>
    <hyperlink ref="D14:G14" location="'Fane 2.2. Økonomisk ramme 2025'!A1" display="Vejledende økonomisk ramme for 2025"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4'!A1" display="Samlet økonomisk ramme for 2023"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1" xr:uid="{00000000-0004-0000-0000-000008000000}"/>
    <hyperlink ref="D25:G25" location="'Fane 10. Anlægsprojekter (§19) '!A1" display="Anlægsprojekter (§ 19) " xr:uid="{00000000-0004-0000-0000-000009000000}"/>
    <hyperlink ref="D31:G31" location="'Fane 15. Nøgletal'!A1" display="Nøgletal" xr:uid="{00000000-0004-0000-0000-00000A000000}"/>
    <hyperlink ref="D17:G17" location="'Fane 3. Omkostninger i ØR2023'!A1" display="Omkostninger i ØR2023" xr:uid="{00000000-0004-0000-0000-00000B000000}"/>
    <hyperlink ref="D27:G27" location="'Fane 11.2. Engangstillæg'!A1" display="Engangstillæg" xr:uid="{00000000-0004-0000-0000-00000C000000}"/>
    <hyperlink ref="D28:G28" location="'Fane 12. Periodevise driftsomk.'!A1" display="Periodevise driftsomkostninger" xr:uid="{00000000-0004-0000-0000-00000D000000}"/>
    <hyperlink ref="D24:G24" location="'Fane 9. Korrektion af ØR2022'!A1" display="Korrektion af den økonomiske ramme for 2021" xr:uid="{00000000-0004-0000-0000-00000E000000}"/>
    <hyperlink ref="D19:G19" location="'Fane 4.2. Gen. krav - anlæg'!A1" display="Generelt effektiviseringskrav på anlæg" xr:uid="{00000000-0004-0000-0000-00000F000000}"/>
    <hyperlink ref="D20:G20" location="'Fane 5. Individuelt eff. krav'!A1" display="Individuelt effektiviseringskrav" xr:uid="{00000000-0004-0000-0000-000010000000}"/>
    <hyperlink ref="D18:G18" location="'Fane 4.1. Gen. krav - drift'!A1" display="Generelt effektiviseringskrav på drift"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1"/>
  <sheetViews>
    <sheetView showGridLines="0" view="pageLayout" zoomScaleNormal="100" workbookViewId="0"/>
  </sheetViews>
  <sheetFormatPr defaultColWidth="9" defaultRowHeight="15" x14ac:dyDescent="0.25"/>
  <cols>
    <col min="1" max="1" width="8"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 style="2"/>
  </cols>
  <sheetData>
    <row r="1" spans="1:6" x14ac:dyDescent="0.25">
      <c r="A1" s="1"/>
      <c r="B1" s="1"/>
      <c r="C1" s="1"/>
      <c r="D1" s="1"/>
      <c r="E1" s="1"/>
      <c r="F1" s="1"/>
    </row>
    <row r="2" spans="1:6" x14ac:dyDescent="0.25">
      <c r="A2" s="1"/>
      <c r="B2" s="1"/>
      <c r="C2" s="1"/>
      <c r="D2" s="1"/>
      <c r="E2" s="1"/>
      <c r="F2" s="1"/>
    </row>
    <row r="3" spans="1:6" ht="15" customHeight="1" x14ac:dyDescent="0.25">
      <c r="A3" s="1"/>
      <c r="B3" s="115" t="s">
        <v>88</v>
      </c>
      <c r="C3" s="115"/>
      <c r="D3" s="115"/>
      <c r="E3" s="1"/>
      <c r="F3" s="1"/>
    </row>
    <row r="4" spans="1:6" ht="15" customHeight="1" x14ac:dyDescent="0.25">
      <c r="A4" s="1"/>
      <c r="B4" s="115"/>
      <c r="C4" s="115"/>
      <c r="D4" s="115"/>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31" t="s">
        <v>258</v>
      </c>
      <c r="C8" s="132"/>
      <c r="D8" s="133"/>
      <c r="E8" s="1"/>
      <c r="F8" s="1"/>
    </row>
    <row r="9" spans="1:6" ht="15" customHeight="1" x14ac:dyDescent="0.25">
      <c r="A9" s="1"/>
      <c r="B9" s="33" t="s">
        <v>30</v>
      </c>
      <c r="C9" s="11" t="s">
        <v>188</v>
      </c>
      <c r="D9" s="11"/>
      <c r="E9" s="1"/>
      <c r="F9" s="1"/>
    </row>
    <row r="10" spans="1:6" ht="15" customHeight="1" x14ac:dyDescent="0.25">
      <c r="A10" s="1"/>
      <c r="B10" s="51" t="s">
        <v>279</v>
      </c>
      <c r="C10" s="9">
        <v>877371</v>
      </c>
      <c r="D10" s="14" t="s">
        <v>3</v>
      </c>
      <c r="E10" s="1"/>
      <c r="F10" s="1"/>
    </row>
    <row r="11" spans="1:6" ht="15" customHeight="1" x14ac:dyDescent="0.25">
      <c r="A11" s="1"/>
      <c r="B11" s="51" t="s">
        <v>280</v>
      </c>
      <c r="C11" s="9">
        <v>115244</v>
      </c>
      <c r="D11" s="14" t="s">
        <v>3</v>
      </c>
      <c r="E11" s="1"/>
      <c r="F11" s="1"/>
    </row>
    <row r="12" spans="1:6" ht="26.25" x14ac:dyDescent="0.25">
      <c r="A12" s="1"/>
      <c r="B12" s="68" t="s">
        <v>281</v>
      </c>
      <c r="C12" s="9">
        <v>850401</v>
      </c>
      <c r="D12" s="14" t="s">
        <v>3</v>
      </c>
      <c r="E12" s="1"/>
      <c r="F12" s="1"/>
    </row>
    <row r="13" spans="1:6" x14ac:dyDescent="0.25">
      <c r="A13" s="1"/>
      <c r="B13" s="51" t="s">
        <v>282</v>
      </c>
      <c r="C13" s="9">
        <v>220244</v>
      </c>
      <c r="D13" s="14" t="s">
        <v>3</v>
      </c>
      <c r="E13" s="1"/>
      <c r="F13" s="1"/>
    </row>
    <row r="14" spans="1:6" x14ac:dyDescent="0.25">
      <c r="A14" s="1"/>
      <c r="B14" s="51" t="s">
        <v>283</v>
      </c>
      <c r="C14" s="9">
        <v>99169</v>
      </c>
      <c r="D14" s="14" t="s">
        <v>3</v>
      </c>
      <c r="E14" s="1"/>
      <c r="F14" s="1"/>
    </row>
    <row r="15" spans="1:6" x14ac:dyDescent="0.25">
      <c r="A15" s="1"/>
      <c r="B15" s="30" t="s">
        <v>259</v>
      </c>
      <c r="C15" s="12">
        <f>SUM(C10:C14)</f>
        <v>2162429</v>
      </c>
      <c r="D15" s="13" t="s">
        <v>3</v>
      </c>
      <c r="E15" s="1"/>
      <c r="F15" s="1"/>
    </row>
    <row r="16" spans="1:6" x14ac:dyDescent="0.25">
      <c r="A16" s="1"/>
      <c r="B16" s="30" t="s">
        <v>260</v>
      </c>
      <c r="C16" s="12">
        <f>C15*(1+'Fane 15. Nøgletal'!C16)^2</f>
        <v>2525995.2468665601</v>
      </c>
      <c r="D16" s="13" t="s">
        <v>3</v>
      </c>
      <c r="E16" s="1"/>
      <c r="F16" s="1"/>
    </row>
    <row r="17" spans="1:6" x14ac:dyDescent="0.25">
      <c r="A17" s="1"/>
      <c r="B17" s="16"/>
      <c r="C17" s="15"/>
      <c r="D17" s="15"/>
      <c r="E17" s="1"/>
      <c r="F17" s="1"/>
    </row>
    <row r="18" spans="1:6" x14ac:dyDescent="0.25">
      <c r="A18" s="1"/>
      <c r="B18" s="16"/>
      <c r="C18" s="15"/>
      <c r="D18" s="15"/>
      <c r="E18" s="1"/>
      <c r="F18" s="1"/>
    </row>
    <row r="19" spans="1:6" x14ac:dyDescent="0.25">
      <c r="A19" s="1"/>
      <c r="B19" s="131" t="s">
        <v>96</v>
      </c>
      <c r="C19" s="132"/>
      <c r="D19" s="133"/>
      <c r="E19" s="1"/>
      <c r="F19" s="1"/>
    </row>
    <row r="20" spans="1:6" x14ac:dyDescent="0.25">
      <c r="A20" s="1"/>
      <c r="B20" s="51" t="s">
        <v>216</v>
      </c>
      <c r="C20" s="9">
        <v>2106226</v>
      </c>
      <c r="D20" s="14" t="s">
        <v>3</v>
      </c>
      <c r="E20" s="1"/>
      <c r="F20" s="1"/>
    </row>
    <row r="21" spans="1:6" x14ac:dyDescent="0.25">
      <c r="A21" s="1"/>
      <c r="B21" s="51" t="s">
        <v>217</v>
      </c>
      <c r="C21" s="9">
        <v>2106226</v>
      </c>
      <c r="D21" s="14" t="s">
        <v>3</v>
      </c>
      <c r="E21" s="1"/>
      <c r="F21" s="1"/>
    </row>
    <row r="22" spans="1:6" x14ac:dyDescent="0.25">
      <c r="A22" s="1"/>
      <c r="B22" s="51" t="s">
        <v>218</v>
      </c>
      <c r="C22" s="9">
        <v>2106226</v>
      </c>
      <c r="D22" s="14" t="s">
        <v>3</v>
      </c>
      <c r="E22" s="1"/>
      <c r="F22" s="1"/>
    </row>
    <row r="23" spans="1:6" x14ac:dyDescent="0.25">
      <c r="A23" s="1"/>
      <c r="B23" s="26" t="s">
        <v>257</v>
      </c>
      <c r="C23" s="9">
        <v>2106226</v>
      </c>
      <c r="D23" s="14" t="s">
        <v>3</v>
      </c>
      <c r="E23" s="1"/>
      <c r="F23" s="1"/>
    </row>
    <row r="24" spans="1:6" x14ac:dyDescent="0.25">
      <c r="A24" s="1"/>
      <c r="B24" s="131"/>
      <c r="C24" s="132"/>
      <c r="D24" s="133"/>
      <c r="E24" s="1"/>
      <c r="F24" s="1"/>
    </row>
    <row r="25" spans="1:6" x14ac:dyDescent="0.25">
      <c r="A25" s="1"/>
      <c r="B25" s="1"/>
      <c r="C25" s="1"/>
      <c r="D25" s="1"/>
      <c r="E25" s="1"/>
      <c r="F25" s="1"/>
    </row>
    <row r="26" spans="1:6" x14ac:dyDescent="0.25">
      <c r="A26" s="1"/>
      <c r="B26" s="1"/>
      <c r="C26" s="1"/>
      <c r="D26" s="1"/>
      <c r="E26" s="1"/>
      <c r="F26" s="1"/>
    </row>
    <row r="27" spans="1:6" x14ac:dyDescent="0.25">
      <c r="A27" s="1"/>
      <c r="B27" s="131" t="s">
        <v>78</v>
      </c>
      <c r="C27" s="132"/>
      <c r="D27" s="133"/>
      <c r="E27" s="1"/>
      <c r="F27" s="1"/>
    </row>
    <row r="28" spans="1:6" x14ac:dyDescent="0.25">
      <c r="A28" s="1"/>
      <c r="B28" s="51" t="s">
        <v>216</v>
      </c>
      <c r="C28" s="9">
        <v>0</v>
      </c>
      <c r="D28" s="14" t="s">
        <v>3</v>
      </c>
      <c r="E28" s="1"/>
      <c r="F28" s="1"/>
    </row>
    <row r="29" spans="1:6" x14ac:dyDescent="0.25">
      <c r="A29" s="1"/>
      <c r="B29" s="51" t="s">
        <v>217</v>
      </c>
      <c r="C29" s="9">
        <v>0</v>
      </c>
      <c r="D29" s="14" t="s">
        <v>3</v>
      </c>
      <c r="E29" s="1"/>
      <c r="F29" s="1"/>
    </row>
    <row r="30" spans="1:6" x14ac:dyDescent="0.25">
      <c r="A30" s="1"/>
      <c r="B30" s="51" t="s">
        <v>218</v>
      </c>
      <c r="C30" s="9">
        <v>0</v>
      </c>
      <c r="D30" s="14" t="s">
        <v>3</v>
      </c>
      <c r="E30" s="1"/>
      <c r="F30" s="1"/>
    </row>
    <row r="31" spans="1:6" x14ac:dyDescent="0.25">
      <c r="A31" s="1"/>
      <c r="B31" s="26" t="s">
        <v>257</v>
      </c>
      <c r="C31" s="9">
        <v>0</v>
      </c>
      <c r="D31" s="14" t="s">
        <v>3</v>
      </c>
      <c r="E31" s="1"/>
      <c r="F31" s="1"/>
    </row>
    <row r="32" spans="1:6" x14ac:dyDescent="0.25">
      <c r="A32" s="1"/>
      <c r="B32" s="131"/>
      <c r="C32" s="132"/>
      <c r="D32" s="133"/>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39"/>
      <c r="B50" s="39"/>
      <c r="C50" s="39"/>
      <c r="D50" s="39"/>
      <c r="E50" s="39"/>
      <c r="F50" s="39"/>
    </row>
    <row r="51" spans="1:6" x14ac:dyDescent="0.25">
      <c r="A51" s="39"/>
      <c r="B51" s="39"/>
      <c r="C51" s="39"/>
      <c r="D51" s="39"/>
      <c r="E51" s="39"/>
      <c r="F51" s="39"/>
    </row>
  </sheetData>
  <sheetProtection algorithmName="SHA-512" hashValue="2mFgnAmnqmitPe1ah2LEJENc22SVpGt1E6CeAgx5fzPRPXu3NK7D95UvW/XPb7xSHxzmWXvnPCWKN3PJrj1udw==" saltValue="yoTpPO/079Bco9frW2AUGw==" spinCount="100000" sheet="1" objects="1" scenarios="1"/>
  <mergeCells count="6">
    <mergeCell ref="B32:D32"/>
    <mergeCell ref="B3:D4"/>
    <mergeCell ref="B8:D8"/>
    <mergeCell ref="B19:D19"/>
    <mergeCell ref="B27:D27"/>
    <mergeCell ref="B24:D24"/>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E75AE-C7FF-4563-AD52-46ED350134CD}">
  <dimension ref="A1:G54"/>
  <sheetViews>
    <sheetView showGridLines="0" view="pageLayout" zoomScale="90" zoomScaleNormal="100" zoomScalePageLayoutView="9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1" t="s">
        <v>290</v>
      </c>
      <c r="C3" s="121"/>
      <c r="D3" s="121"/>
      <c r="E3" s="121"/>
      <c r="F3" s="121"/>
      <c r="G3" s="1"/>
    </row>
    <row r="4" spans="1:7" ht="15" customHeight="1" x14ac:dyDescent="0.25">
      <c r="A4" s="1"/>
      <c r="B4" s="121"/>
      <c r="C4" s="121"/>
      <c r="D4" s="121"/>
      <c r="E4" s="121"/>
      <c r="F4" s="121"/>
      <c r="G4" s="1"/>
    </row>
    <row r="5" spans="1:7" ht="15" customHeight="1" x14ac:dyDescent="0.25">
      <c r="A5" s="1"/>
      <c r="B5" s="74"/>
      <c r="C5" s="74"/>
      <c r="D5" s="74"/>
      <c r="E5" s="74"/>
      <c r="F5" s="74"/>
      <c r="G5" s="1"/>
    </row>
    <row r="6" spans="1:7" ht="15" customHeight="1" x14ac:dyDescent="0.25">
      <c r="A6" s="1"/>
      <c r="B6" s="74"/>
      <c r="C6" s="74"/>
      <c r="D6" s="74"/>
      <c r="E6" s="74"/>
      <c r="F6" s="74"/>
      <c r="G6" s="1"/>
    </row>
    <row r="7" spans="1:7" ht="13.5" customHeight="1" x14ac:dyDescent="0.25">
      <c r="A7" s="1"/>
      <c r="B7" s="1"/>
      <c r="C7" s="1"/>
      <c r="D7" s="1"/>
      <c r="E7" s="1"/>
      <c r="F7" s="1"/>
      <c r="G7" s="1"/>
    </row>
    <row r="8" spans="1:7" x14ac:dyDescent="0.25">
      <c r="A8" s="1"/>
      <c r="B8" s="131" t="s">
        <v>159</v>
      </c>
      <c r="C8" s="132"/>
      <c r="D8" s="132"/>
      <c r="E8" s="132"/>
      <c r="F8" s="133"/>
      <c r="G8" s="1"/>
    </row>
    <row r="9" spans="1:7" x14ac:dyDescent="0.25">
      <c r="A9" s="1"/>
      <c r="B9" s="144" t="s">
        <v>160</v>
      </c>
      <c r="C9" s="145"/>
      <c r="D9" s="146"/>
      <c r="E9" s="9">
        <v>11825809</v>
      </c>
      <c r="F9" s="14" t="s">
        <v>3</v>
      </c>
      <c r="G9" s="1"/>
    </row>
    <row r="10" spans="1:7" x14ac:dyDescent="0.25">
      <c r="A10" s="1"/>
      <c r="B10" s="144" t="s">
        <v>161</v>
      </c>
      <c r="C10" s="145"/>
      <c r="D10" s="146"/>
      <c r="E10" s="9">
        <v>10994022</v>
      </c>
      <c r="F10" s="14" t="s">
        <v>3</v>
      </c>
      <c r="G10" s="1"/>
    </row>
    <row r="11" spans="1:7" x14ac:dyDescent="0.25">
      <c r="A11" s="1"/>
      <c r="B11" s="144" t="s">
        <v>172</v>
      </c>
      <c r="C11" s="145"/>
      <c r="D11" s="146"/>
      <c r="E11" s="9">
        <v>-3531831</v>
      </c>
      <c r="F11" s="14" t="s">
        <v>3</v>
      </c>
      <c r="G11" s="1"/>
    </row>
    <row r="12" spans="1:7" x14ac:dyDescent="0.25">
      <c r="A12" s="1"/>
      <c r="B12" s="144" t="s">
        <v>291</v>
      </c>
      <c r="C12" s="145"/>
      <c r="D12" s="146"/>
      <c r="E12" s="9">
        <v>852895</v>
      </c>
      <c r="F12" s="14" t="s">
        <v>3</v>
      </c>
      <c r="G12" s="1"/>
    </row>
    <row r="13" spans="1:7" x14ac:dyDescent="0.25">
      <c r="A13" s="1"/>
      <c r="B13" s="30"/>
      <c r="C13" s="31"/>
      <c r="D13" s="31"/>
      <c r="E13" s="31"/>
      <c r="F13" s="19"/>
      <c r="G13" s="1"/>
    </row>
    <row r="14" spans="1:7" ht="42.75" customHeight="1" x14ac:dyDescent="0.25">
      <c r="A14" s="1"/>
      <c r="B14" s="150" t="s">
        <v>292</v>
      </c>
      <c r="C14" s="151"/>
      <c r="D14" s="151"/>
      <c r="E14" s="151"/>
      <c r="F14" s="152"/>
      <c r="G14" s="1"/>
    </row>
    <row r="15" spans="1:7" x14ac:dyDescent="0.25">
      <c r="A15" s="1"/>
      <c r="B15" s="1"/>
      <c r="C15" s="1"/>
      <c r="D15" s="1"/>
      <c r="E15" s="1"/>
      <c r="F15" s="1"/>
      <c r="G15" s="1"/>
    </row>
    <row r="16" spans="1:7" x14ac:dyDescent="0.25">
      <c r="A16" s="1"/>
      <c r="B16" s="81" t="s">
        <v>293</v>
      </c>
      <c r="C16" s="82"/>
      <c r="D16" s="82"/>
      <c r="E16" s="82"/>
      <c r="F16" s="83"/>
      <c r="G16" s="1"/>
    </row>
    <row r="17" spans="1:7" x14ac:dyDescent="0.25">
      <c r="A17" s="1"/>
      <c r="B17" s="84" t="s">
        <v>294</v>
      </c>
      <c r="C17" s="85"/>
      <c r="D17" s="86"/>
      <c r="E17" s="9">
        <f>IF(E12&lt;0,E12,0)</f>
        <v>0</v>
      </c>
      <c r="F17" s="14" t="s">
        <v>3</v>
      </c>
      <c r="G17" s="1"/>
    </row>
    <row r="18" spans="1:7" x14ac:dyDescent="0.25">
      <c r="A18" s="1"/>
      <c r="B18" s="84" t="s">
        <v>295</v>
      </c>
      <c r="C18" s="85"/>
      <c r="D18" s="86"/>
      <c r="E18" s="9">
        <f>IF(SUM(E9:E11)&gt;0,SUM(E9:E11),0)</f>
        <v>19288000</v>
      </c>
      <c r="F18" s="14" t="s">
        <v>3</v>
      </c>
      <c r="G18" s="1"/>
    </row>
    <row r="19" spans="1:7" x14ac:dyDescent="0.25">
      <c r="A19" s="1"/>
      <c r="B19" s="87" t="s">
        <v>296</v>
      </c>
      <c r="C19" s="88"/>
      <c r="D19" s="89"/>
      <c r="E19" s="73">
        <f>IF(SUM(E17:E18)&gt;0,0,SUM(E17:E18))</f>
        <v>0</v>
      </c>
      <c r="F19" s="17" t="s">
        <v>3</v>
      </c>
      <c r="G19" s="1"/>
    </row>
    <row r="20" spans="1:7" x14ac:dyDescent="0.25">
      <c r="A20" s="1"/>
      <c r="B20" s="30"/>
      <c r="C20" s="31"/>
      <c r="D20" s="31"/>
      <c r="E20" s="31"/>
      <c r="F20" s="19"/>
      <c r="G20" s="1"/>
    </row>
    <row r="21" spans="1:7" x14ac:dyDescent="0.25">
      <c r="A21" s="1"/>
      <c r="B21" s="1"/>
      <c r="C21" s="1"/>
      <c r="D21" s="1"/>
      <c r="E21" s="1"/>
      <c r="F21" s="1"/>
      <c r="G21" s="1"/>
    </row>
    <row r="22" spans="1:7" x14ac:dyDescent="0.25">
      <c r="A22" s="1"/>
      <c r="B22" s="81" t="s">
        <v>297</v>
      </c>
      <c r="C22" s="82"/>
      <c r="D22" s="82"/>
      <c r="E22" s="82"/>
      <c r="F22" s="83"/>
      <c r="G22" s="1"/>
    </row>
    <row r="23" spans="1:7" x14ac:dyDescent="0.25">
      <c r="A23" s="1"/>
      <c r="B23" s="84" t="s">
        <v>298</v>
      </c>
      <c r="C23" s="85"/>
      <c r="D23" s="86"/>
      <c r="E23" s="9">
        <v>106160656.54490139</v>
      </c>
      <c r="F23" s="14" t="s">
        <v>3</v>
      </c>
      <c r="G23" s="1"/>
    </row>
    <row r="24" spans="1:7" x14ac:dyDescent="0.25">
      <c r="A24" s="1"/>
      <c r="B24" s="84" t="s">
        <v>299</v>
      </c>
      <c r="C24" s="85"/>
      <c r="D24" s="86"/>
      <c r="E24" s="9">
        <v>103662543</v>
      </c>
      <c r="F24" s="14" t="s">
        <v>3</v>
      </c>
      <c r="G24" s="1"/>
    </row>
    <row r="25" spans="1:7" x14ac:dyDescent="0.25">
      <c r="A25" s="1"/>
      <c r="B25" s="84" t="s">
        <v>31</v>
      </c>
      <c r="C25" s="85"/>
      <c r="D25" s="86"/>
      <c r="E25" s="9">
        <v>0</v>
      </c>
      <c r="F25" s="14" t="s">
        <v>3</v>
      </c>
      <c r="G25" s="1"/>
    </row>
    <row r="26" spans="1:7" x14ac:dyDescent="0.25">
      <c r="A26" s="1"/>
      <c r="B26" s="87" t="s">
        <v>300</v>
      </c>
      <c r="C26" s="88"/>
      <c r="D26" s="89"/>
      <c r="E26" s="73">
        <f>E23-E24-E25</f>
        <v>2498113.5449013859</v>
      </c>
      <c r="F26" s="17" t="s">
        <v>3</v>
      </c>
      <c r="G26" s="1"/>
    </row>
    <row r="27" spans="1:7" x14ac:dyDescent="0.25">
      <c r="A27" s="1"/>
      <c r="B27" s="30"/>
      <c r="C27" s="31"/>
      <c r="D27" s="31"/>
      <c r="E27" s="31"/>
      <c r="F27" s="19"/>
      <c r="G27" s="1"/>
    </row>
    <row r="28" spans="1:7" x14ac:dyDescent="0.25">
      <c r="A28" s="1"/>
      <c r="B28" s="1"/>
      <c r="C28" s="1"/>
      <c r="D28" s="1"/>
      <c r="E28" s="1"/>
      <c r="F28" s="1"/>
      <c r="G28" s="1"/>
    </row>
    <row r="29" spans="1:7" x14ac:dyDescent="0.25">
      <c r="A29" s="1"/>
      <c r="B29" s="131" t="s">
        <v>301</v>
      </c>
      <c r="C29" s="132"/>
      <c r="D29" s="132"/>
      <c r="E29" s="132"/>
      <c r="F29" s="133"/>
      <c r="G29" s="1"/>
    </row>
    <row r="30" spans="1:7" x14ac:dyDescent="0.25">
      <c r="A30" s="1"/>
      <c r="B30" s="153" t="s">
        <v>119</v>
      </c>
      <c r="C30" s="154"/>
      <c r="D30" s="155"/>
      <c r="E30" s="9">
        <f>IF(E19&lt;0,IF(E26&lt;0,SUM(E19,E26),IF(E11&gt;0,SUM(E11:E12),E19)),IF(AND(E26&lt;0,SUM(E26,E12)&lt;0),IF(SUM(E9:E12)&lt;0,E26,E26),IF(AND(E26&lt;0,SUM(E9:E12)&lt;0),E26,0)))</f>
        <v>0</v>
      </c>
      <c r="F30" s="14" t="s">
        <v>3</v>
      </c>
      <c r="G30" s="1"/>
    </row>
    <row r="31" spans="1:7" x14ac:dyDescent="0.25">
      <c r="A31" s="1"/>
      <c r="B31" s="153" t="s">
        <v>81</v>
      </c>
      <c r="C31" s="154"/>
      <c r="D31" s="155"/>
      <c r="E31" s="9">
        <v>2</v>
      </c>
      <c r="F31" s="14" t="s">
        <v>20</v>
      </c>
      <c r="G31" s="1"/>
    </row>
    <row r="32" spans="1:7" x14ac:dyDescent="0.25">
      <c r="A32" s="1"/>
      <c r="B32" s="156" t="s">
        <v>121</v>
      </c>
      <c r="C32" s="157"/>
      <c r="D32" s="158"/>
      <c r="E32" s="10">
        <f>E30/E31</f>
        <v>0</v>
      </c>
      <c r="F32" s="17" t="s">
        <v>3</v>
      </c>
      <c r="G32" s="1"/>
    </row>
    <row r="33" spans="1:7" x14ac:dyDescent="0.25">
      <c r="A33" s="1"/>
      <c r="B33" s="147"/>
      <c r="C33" s="148"/>
      <c r="D33" s="148"/>
      <c r="E33" s="148"/>
      <c r="F33" s="149"/>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9"/>
      <c r="B48" s="39"/>
      <c r="C48" s="39"/>
      <c r="D48" s="39"/>
      <c r="E48" s="39"/>
      <c r="F48" s="39"/>
      <c r="G48" s="39"/>
    </row>
    <row r="49" spans="1:7" x14ac:dyDescent="0.25">
      <c r="A49" s="39"/>
      <c r="B49" s="39"/>
      <c r="C49" s="39"/>
      <c r="D49" s="39"/>
      <c r="E49" s="39"/>
      <c r="F49" s="39"/>
      <c r="G49" s="39"/>
    </row>
    <row r="50" spans="1:7" x14ac:dyDescent="0.25">
      <c r="A50" s="39"/>
      <c r="B50" s="39"/>
      <c r="C50" s="39"/>
      <c r="D50" s="39"/>
      <c r="E50" s="39"/>
      <c r="F50" s="39"/>
      <c r="G50" s="39"/>
    </row>
    <row r="51" spans="1:7" x14ac:dyDescent="0.25">
      <c r="A51" s="39"/>
      <c r="B51" s="39"/>
      <c r="C51" s="39"/>
      <c r="D51" s="39"/>
      <c r="E51" s="39"/>
      <c r="F51" s="39"/>
      <c r="G51" s="39"/>
    </row>
    <row r="52" spans="1:7" x14ac:dyDescent="0.25">
      <c r="A52" s="39"/>
      <c r="B52" s="39"/>
      <c r="C52" s="39"/>
      <c r="D52" s="39"/>
      <c r="E52" s="39"/>
      <c r="F52" s="39"/>
      <c r="G52" s="39"/>
    </row>
    <row r="53" spans="1:7" x14ac:dyDescent="0.25">
      <c r="A53" s="39"/>
      <c r="B53" s="39"/>
      <c r="C53" s="39"/>
      <c r="D53" s="39"/>
      <c r="E53" s="39"/>
      <c r="F53" s="39"/>
      <c r="G53" s="39"/>
    </row>
    <row r="54" spans="1:7" x14ac:dyDescent="0.25">
      <c r="A54" s="39"/>
      <c r="G54" s="39"/>
    </row>
  </sheetData>
  <sheetProtection algorithmName="SHA-512" hashValue="6/EIhjr96W3TcKXcbyjWp8n7dmlnWwas8a1TMIyBFfcGhhOPvLQ3lVFH76nwws1Mi0wr7RalMK6wHDZmdRitkA==" saltValue="gD8Q9MsEV9DyrKURYzs9mA==" spinCount="100000" sheet="1" objects="1" scenarios="1"/>
  <mergeCells count="12">
    <mergeCell ref="B33:F33"/>
    <mergeCell ref="B3:F4"/>
    <mergeCell ref="B8:F8"/>
    <mergeCell ref="B9:D9"/>
    <mergeCell ref="B10:D10"/>
    <mergeCell ref="B11:D11"/>
    <mergeCell ref="B12:D12"/>
    <mergeCell ref="B14:F14"/>
    <mergeCell ref="B29:F29"/>
    <mergeCell ref="B30:D30"/>
    <mergeCell ref="B31:D31"/>
    <mergeCell ref="B32:D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50"/>
  <sheetViews>
    <sheetView view="pageLayout" zoomScaleNormal="100" workbookViewId="0"/>
  </sheetViews>
  <sheetFormatPr defaultColWidth="9.140625" defaultRowHeight="15" x14ac:dyDescent="0.25"/>
  <cols>
    <col min="1" max="1" width="4.7109375" style="50" customWidth="1"/>
    <col min="2" max="2" width="22.5703125" style="50" customWidth="1"/>
    <col min="3" max="3" width="8.28515625" style="50" customWidth="1"/>
    <col min="4" max="6" width="10.7109375" style="50" customWidth="1"/>
    <col min="7" max="7" width="11.140625" style="50" customWidth="1"/>
    <col min="8" max="8" width="3.28515625" style="50" customWidth="1"/>
    <col min="9" max="9" width="4.85546875" style="50" customWidth="1"/>
    <col min="10" max="16384" width="9.140625" style="50"/>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15" t="s">
        <v>193</v>
      </c>
      <c r="C3" s="115"/>
      <c r="D3" s="115"/>
      <c r="E3" s="115"/>
      <c r="F3" s="115"/>
      <c r="G3" s="115"/>
      <c r="H3" s="115"/>
      <c r="I3" s="1"/>
    </row>
    <row r="4" spans="1:9" ht="15" customHeight="1" x14ac:dyDescent="0.25">
      <c r="A4" s="1"/>
      <c r="B4" s="115"/>
      <c r="C4" s="115"/>
      <c r="D4" s="115"/>
      <c r="E4" s="115"/>
      <c r="F4" s="115"/>
      <c r="G4" s="115"/>
      <c r="H4" s="115"/>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31" t="s">
        <v>194</v>
      </c>
      <c r="C8" s="132"/>
      <c r="D8" s="132"/>
      <c r="E8" s="132"/>
      <c r="F8" s="132"/>
      <c r="G8" s="132"/>
      <c r="H8" s="133"/>
      <c r="I8" s="1"/>
    </row>
    <row r="9" spans="1:9" ht="15" customHeight="1" x14ac:dyDescent="0.25">
      <c r="A9" s="1"/>
      <c r="B9" s="159" t="s">
        <v>195</v>
      </c>
      <c r="C9" s="160"/>
      <c r="D9" s="160"/>
      <c r="E9" s="160"/>
      <c r="F9" s="160"/>
      <c r="G9" s="160"/>
      <c r="H9" s="161"/>
      <c r="I9" s="1"/>
    </row>
    <row r="10" spans="1:9" x14ac:dyDescent="0.25">
      <c r="A10" s="1"/>
      <c r="B10" s="162" t="s">
        <v>196</v>
      </c>
      <c r="C10" s="163"/>
      <c r="D10" s="163"/>
      <c r="E10" s="163"/>
      <c r="F10" s="164"/>
      <c r="G10" s="40">
        <v>0</v>
      </c>
      <c r="H10" s="9" t="s">
        <v>3</v>
      </c>
      <c r="I10" s="1"/>
    </row>
    <row r="11" spans="1:9" x14ac:dyDescent="0.25">
      <c r="A11" s="1"/>
      <c r="B11" s="162" t="s">
        <v>197</v>
      </c>
      <c r="C11" s="163"/>
      <c r="D11" s="163"/>
      <c r="E11" s="163"/>
      <c r="F11" s="164"/>
      <c r="G11" s="40">
        <v>0</v>
      </c>
      <c r="H11" s="9" t="s">
        <v>3</v>
      </c>
      <c r="I11" s="1"/>
    </row>
    <row r="12" spans="1:9" x14ac:dyDescent="0.25">
      <c r="A12" s="1"/>
      <c r="B12" s="162" t="s">
        <v>198</v>
      </c>
      <c r="C12" s="163"/>
      <c r="D12" s="163"/>
      <c r="E12" s="163"/>
      <c r="F12" s="164"/>
      <c r="G12" s="9">
        <v>0</v>
      </c>
      <c r="H12" s="9" t="s">
        <v>3</v>
      </c>
      <c r="I12" s="1"/>
    </row>
    <row r="13" spans="1:9" x14ac:dyDescent="0.25">
      <c r="A13" s="1"/>
      <c r="B13" s="162" t="s">
        <v>199</v>
      </c>
      <c r="C13" s="163"/>
      <c r="D13" s="163"/>
      <c r="E13" s="163"/>
      <c r="F13" s="164"/>
      <c r="G13" s="9">
        <v>0</v>
      </c>
      <c r="H13" s="9" t="s">
        <v>3</v>
      </c>
      <c r="I13" s="1"/>
    </row>
    <row r="14" spans="1:9" x14ac:dyDescent="0.25">
      <c r="A14" s="1"/>
      <c r="B14" s="162" t="s">
        <v>200</v>
      </c>
      <c r="C14" s="163"/>
      <c r="D14" s="163"/>
      <c r="E14" s="163"/>
      <c r="F14" s="164"/>
      <c r="G14" s="9">
        <v>0</v>
      </c>
      <c r="H14" s="9" t="s">
        <v>3</v>
      </c>
      <c r="I14" s="1"/>
    </row>
    <row r="15" spans="1:9" x14ac:dyDescent="0.25">
      <c r="A15" s="1"/>
      <c r="B15" s="162" t="s">
        <v>201</v>
      </c>
      <c r="C15" s="163"/>
      <c r="D15" s="163"/>
      <c r="E15" s="163"/>
      <c r="F15" s="164"/>
      <c r="G15" s="9">
        <v>0</v>
      </c>
      <c r="H15" s="9" t="s">
        <v>3</v>
      </c>
      <c r="I15" s="1"/>
    </row>
    <row r="16" spans="1:9" x14ac:dyDescent="0.25">
      <c r="A16" s="1"/>
      <c r="B16" s="162" t="s">
        <v>202</v>
      </c>
      <c r="C16" s="163"/>
      <c r="D16" s="163"/>
      <c r="E16" s="163"/>
      <c r="F16" s="164"/>
      <c r="G16" s="9">
        <v>0</v>
      </c>
      <c r="H16" s="9" t="s">
        <v>3</v>
      </c>
      <c r="I16" s="1"/>
    </row>
    <row r="17" spans="1:9" x14ac:dyDescent="0.25">
      <c r="A17" s="1"/>
      <c r="B17" s="162" t="s">
        <v>203</v>
      </c>
      <c r="C17" s="163"/>
      <c r="D17" s="163"/>
      <c r="E17" s="163"/>
      <c r="F17" s="164"/>
      <c r="G17" s="9">
        <v>0</v>
      </c>
      <c r="H17" s="9" t="s">
        <v>3</v>
      </c>
      <c r="I17" s="1"/>
    </row>
    <row r="18" spans="1:9" x14ac:dyDescent="0.25">
      <c r="A18" s="1"/>
      <c r="B18" s="131" t="s">
        <v>204</v>
      </c>
      <c r="C18" s="132"/>
      <c r="D18" s="132"/>
      <c r="E18" s="132"/>
      <c r="F18" s="133"/>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pJFmzuf0+pzrsBcjiAFtsbk2NzE4Vhrnb7wvvv8kddoB5ZHjjGrb7H0PWtYg4V7wIZtZn2h5ZyqOhec19N80bA==" saltValue="yDq3vE8xpUA9xLgLq/3EEg=="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91" zoomScaleNormal="100" zoomScalePageLayoutView="91" workbookViewId="0"/>
  </sheetViews>
  <sheetFormatPr defaultColWidth="9" defaultRowHeight="15" x14ac:dyDescent="0.25"/>
  <cols>
    <col min="1" max="1" width="4.7109375" style="2" customWidth="1"/>
    <col min="2" max="3" width="9" style="2"/>
    <col min="4" max="4" width="44.28515625" style="2" customWidth="1"/>
    <col min="5" max="5" width="10.7109375" style="2" customWidth="1"/>
    <col min="6" max="6" width="3.28515625" style="2" customWidth="1"/>
    <col min="7" max="7" width="4.71093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21" t="s">
        <v>284</v>
      </c>
      <c r="C3" s="121"/>
      <c r="D3" s="121"/>
      <c r="E3" s="121"/>
      <c r="F3" s="121"/>
      <c r="G3" s="1"/>
    </row>
    <row r="4" spans="1:7" ht="15" customHeight="1" x14ac:dyDescent="0.25">
      <c r="A4" s="1"/>
      <c r="B4" s="121"/>
      <c r="C4" s="121"/>
      <c r="D4" s="121"/>
      <c r="E4" s="121"/>
      <c r="F4" s="12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65" t="s">
        <v>285</v>
      </c>
      <c r="C9" s="165"/>
      <c r="D9" s="165"/>
      <c r="E9" s="165"/>
      <c r="F9" s="165"/>
      <c r="G9" s="1"/>
    </row>
    <row r="10" spans="1:7" x14ac:dyDescent="0.25">
      <c r="A10" s="1"/>
      <c r="B10" s="150" t="s">
        <v>79</v>
      </c>
      <c r="C10" s="151"/>
      <c r="D10" s="152"/>
      <c r="E10" s="7">
        <v>0</v>
      </c>
      <c r="F10" s="8" t="s">
        <v>3</v>
      </c>
      <c r="G10" s="1"/>
    </row>
    <row r="11" spans="1:7" x14ac:dyDescent="0.25">
      <c r="A11" s="1"/>
      <c r="B11" s="144" t="s">
        <v>286</v>
      </c>
      <c r="C11" s="145"/>
      <c r="D11" s="146"/>
      <c r="E11" s="7">
        <v>0</v>
      </c>
      <c r="F11" s="8" t="s">
        <v>3</v>
      </c>
      <c r="G11" s="1"/>
    </row>
    <row r="12" spans="1:7" x14ac:dyDescent="0.25">
      <c r="A12" s="1"/>
      <c r="B12" s="156" t="s">
        <v>80</v>
      </c>
      <c r="C12" s="157"/>
      <c r="D12" s="158"/>
      <c r="E12" s="10">
        <f>E11-E10</f>
        <v>0</v>
      </c>
      <c r="F12" s="11" t="s">
        <v>3</v>
      </c>
      <c r="G12" s="1"/>
    </row>
    <row r="13" spans="1:7" x14ac:dyDescent="0.25">
      <c r="A13" s="1"/>
      <c r="B13" s="165" t="s">
        <v>74</v>
      </c>
      <c r="C13" s="165"/>
      <c r="D13" s="165"/>
      <c r="E13" s="165"/>
      <c r="F13" s="165"/>
      <c r="G13" s="1"/>
    </row>
    <row r="14" spans="1:7" x14ac:dyDescent="0.25">
      <c r="A14" s="1"/>
      <c r="B14" s="144" t="s">
        <v>287</v>
      </c>
      <c r="C14" s="145"/>
      <c r="D14" s="146"/>
      <c r="E14" s="7">
        <v>2106226</v>
      </c>
      <c r="F14" s="8" t="s">
        <v>3</v>
      </c>
      <c r="G14" s="1"/>
    </row>
    <row r="15" spans="1:7" x14ac:dyDescent="0.25">
      <c r="A15" s="1"/>
      <c r="B15" s="150" t="s">
        <v>288</v>
      </c>
      <c r="C15" s="151"/>
      <c r="D15" s="152"/>
      <c r="E15" s="7">
        <v>1763109</v>
      </c>
      <c r="F15" s="8" t="s">
        <v>3</v>
      </c>
      <c r="G15" s="1"/>
    </row>
    <row r="16" spans="1:7" x14ac:dyDescent="0.25">
      <c r="A16" s="1"/>
      <c r="B16" s="156" t="s">
        <v>80</v>
      </c>
      <c r="C16" s="157"/>
      <c r="D16" s="158"/>
      <c r="E16" s="10">
        <f>E15-E14</f>
        <v>-343117</v>
      </c>
      <c r="F16" s="11" t="s">
        <v>3</v>
      </c>
      <c r="G16" s="1"/>
    </row>
    <row r="17" spans="1:7" ht="15" customHeight="1" x14ac:dyDescent="0.25">
      <c r="A17" s="1"/>
      <c r="B17" s="30" t="s">
        <v>289</v>
      </c>
      <c r="C17" s="31"/>
      <c r="D17" s="31"/>
      <c r="E17" s="12">
        <f>E12+E16</f>
        <v>-343117</v>
      </c>
      <c r="F17" s="13" t="s">
        <v>3</v>
      </c>
      <c r="G17" s="1"/>
    </row>
    <row r="18" spans="1:7" ht="15" customHeight="1"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yCSf1wbCYEuS5CBnJcuWJA1Dr6PVXSDNRdk4bX/fCjfS/iooaFARfjTzG4MH9KlP4LaKmbez5lAsgl4xq9AmlA==" saltValue="9BaWZGIeMTU5+qHgbLXraw=="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 defaultRowHeight="15" x14ac:dyDescent="0.25"/>
  <cols>
    <col min="1" max="1" width="4.7109375" style="2" customWidth="1"/>
    <col min="2" max="2" width="22.5703125" style="2" customWidth="1"/>
    <col min="3" max="3" width="8.28515625" style="2" customWidth="1"/>
    <col min="4" max="4" width="8.5703125" style="2" customWidth="1"/>
    <col min="5" max="5" width="3" style="2" customWidth="1"/>
    <col min="6" max="6" width="8.5703125" style="2" customWidth="1"/>
    <col min="7" max="7" width="3" style="2" customWidth="1"/>
    <col min="8" max="8" width="8.5703125" style="2" customWidth="1"/>
    <col min="9" max="9" width="3" style="2" customWidth="1"/>
    <col min="10" max="10" width="8.5703125" style="2" customWidth="1"/>
    <col min="11" max="11" width="3" style="2" customWidth="1"/>
    <col min="12" max="12" width="4.85546875" style="2" customWidth="1"/>
    <col min="13" max="16384" width="9"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15" t="s">
        <v>205</v>
      </c>
      <c r="C3" s="115"/>
      <c r="D3" s="115"/>
      <c r="E3" s="115"/>
      <c r="F3" s="115"/>
      <c r="G3" s="115"/>
      <c r="H3" s="115"/>
      <c r="I3" s="115"/>
      <c r="J3" s="115"/>
      <c r="K3" s="115"/>
      <c r="L3" s="1"/>
    </row>
    <row r="4" spans="1:12" ht="15" customHeight="1" x14ac:dyDescent="0.25">
      <c r="A4" s="1"/>
      <c r="B4" s="115"/>
      <c r="C4" s="115"/>
      <c r="D4" s="115"/>
      <c r="E4" s="115"/>
      <c r="F4" s="115"/>
      <c r="G4" s="115"/>
      <c r="H4" s="115"/>
      <c r="I4" s="115"/>
      <c r="J4" s="115"/>
      <c r="K4" s="115"/>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31" t="s">
        <v>179</v>
      </c>
      <c r="C8" s="132"/>
      <c r="D8" s="132"/>
      <c r="E8" s="132"/>
      <c r="F8" s="132"/>
      <c r="G8" s="132"/>
      <c r="H8" s="132"/>
      <c r="I8" s="132"/>
      <c r="J8" s="132"/>
      <c r="K8" s="133"/>
      <c r="L8" s="1"/>
    </row>
    <row r="9" spans="1:12" ht="39.75" customHeight="1" x14ac:dyDescent="0.25">
      <c r="A9" s="1"/>
      <c r="B9" s="18" t="s">
        <v>0</v>
      </c>
      <c r="C9" s="18" t="s">
        <v>1</v>
      </c>
      <c r="D9" s="166" t="s">
        <v>189</v>
      </c>
      <c r="E9" s="167"/>
      <c r="F9" s="166" t="s">
        <v>2</v>
      </c>
      <c r="G9" s="167"/>
      <c r="H9" s="166" t="s">
        <v>191</v>
      </c>
      <c r="I9" s="167"/>
      <c r="J9" s="166" t="s">
        <v>28</v>
      </c>
      <c r="K9" s="167"/>
      <c r="L9" s="1"/>
    </row>
    <row r="10" spans="1:12" x14ac:dyDescent="0.25">
      <c r="A10" s="1"/>
      <c r="B10" s="92" t="s">
        <v>270</v>
      </c>
      <c r="C10" s="34">
        <v>0</v>
      </c>
      <c r="D10" s="9">
        <v>0</v>
      </c>
      <c r="E10" s="14" t="s">
        <v>3</v>
      </c>
      <c r="F10" s="9">
        <f>IFERROR(D10/C10,0)</f>
        <v>0</v>
      </c>
      <c r="G10" s="14" t="s">
        <v>3</v>
      </c>
      <c r="H10" s="9">
        <v>0</v>
      </c>
      <c r="I10" s="14" t="s">
        <v>3</v>
      </c>
      <c r="J10" s="9">
        <v>0</v>
      </c>
      <c r="K10" s="14" t="s">
        <v>3</v>
      </c>
      <c r="L10" s="1"/>
    </row>
    <row r="11" spans="1:12" x14ac:dyDescent="0.25">
      <c r="A11" s="1"/>
      <c r="B11" s="131" t="s">
        <v>180</v>
      </c>
      <c r="C11" s="132"/>
      <c r="D11" s="132"/>
      <c r="E11" s="133"/>
      <c r="F11" s="12">
        <f>SUM(F10:F10)</f>
        <v>0</v>
      </c>
      <c r="G11" s="83" t="s">
        <v>190</v>
      </c>
      <c r="H11" s="12">
        <f>SUM(H10:H10)</f>
        <v>0</v>
      </c>
      <c r="I11" s="83" t="s">
        <v>190</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39"/>
      <c r="B44" s="39"/>
      <c r="C44" s="39"/>
      <c r="D44" s="39"/>
      <c r="E44" s="39"/>
      <c r="F44" s="39"/>
      <c r="G44" s="39"/>
      <c r="H44" s="39"/>
      <c r="I44" s="39"/>
      <c r="J44" s="39"/>
      <c r="K44" s="39"/>
      <c r="L44" s="39"/>
    </row>
    <row r="45" spans="1:12" x14ac:dyDescent="0.25">
      <c r="A45" s="39"/>
      <c r="B45" s="39"/>
      <c r="C45" s="39"/>
      <c r="D45" s="39"/>
      <c r="E45" s="39"/>
      <c r="F45" s="39"/>
      <c r="G45" s="39"/>
      <c r="H45" s="39"/>
      <c r="I45" s="39"/>
      <c r="J45" s="39"/>
      <c r="K45" s="39"/>
      <c r="L45" s="39"/>
    </row>
    <row r="46" spans="1:12" x14ac:dyDescent="0.25">
      <c r="A46" s="39"/>
      <c r="B46" s="39"/>
      <c r="C46" s="39"/>
      <c r="D46" s="39"/>
      <c r="E46" s="39"/>
      <c r="F46" s="39"/>
      <c r="G46" s="39"/>
      <c r="H46" s="39"/>
      <c r="I46" s="39"/>
      <c r="J46" s="39"/>
      <c r="K46" s="39"/>
      <c r="L46" s="39"/>
    </row>
  </sheetData>
  <sheetProtection algorithmName="SHA-512" hashValue="UB7/gEztkxTMCJu2uEtXJ5rGfrZ+BIFUkTqZgw9GDu5bx/fEE5oJUnraU8W3AY8EbrggBNiXWwewhKZI+7EkZA==" saltValue="3e3XrQccKl9x33EcHsfMBA==" spinCount="100000" sheet="1" objects="1" scenarios="1"/>
  <mergeCells count="7">
    <mergeCell ref="B11:E11"/>
    <mergeCell ref="B3:K4"/>
    <mergeCell ref="B8:K8"/>
    <mergeCell ref="D9:E9"/>
    <mergeCell ref="F9:G9"/>
    <mergeCell ref="H9:I9"/>
    <mergeCell ref="J9:K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3"/>
  <sheetViews>
    <sheetView showGridLines="0" view="pageLayout" zoomScaleNormal="100" workbookViewId="0"/>
  </sheetViews>
  <sheetFormatPr defaultColWidth="9" defaultRowHeight="15" x14ac:dyDescent="0.25"/>
  <cols>
    <col min="1" max="1" width="5" style="2" customWidth="1"/>
    <col min="2" max="2" width="3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5" t="s">
        <v>206</v>
      </c>
      <c r="C3" s="115"/>
      <c r="D3" s="115"/>
      <c r="E3" s="115"/>
      <c r="F3" s="115"/>
      <c r="G3" s="1"/>
    </row>
    <row r="4" spans="1:7" ht="15" customHeight="1" x14ac:dyDescent="0.25">
      <c r="A4" s="1"/>
      <c r="B4" s="115"/>
      <c r="C4" s="115"/>
      <c r="D4" s="115"/>
      <c r="E4" s="115"/>
      <c r="F4" s="11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0" t="s">
        <v>64</v>
      </c>
      <c r="C8" s="31"/>
      <c r="D8" s="31"/>
      <c r="E8" s="31"/>
      <c r="F8" s="19"/>
      <c r="G8" s="1"/>
    </row>
    <row r="9" spans="1:7" ht="17.25" customHeight="1" x14ac:dyDescent="0.25">
      <c r="A9" s="1"/>
      <c r="B9" s="90" t="s">
        <v>17</v>
      </c>
      <c r="C9" s="90" t="s">
        <v>11</v>
      </c>
      <c r="D9" s="91"/>
      <c r="E9" s="90" t="s">
        <v>29</v>
      </c>
      <c r="F9" s="96"/>
      <c r="G9" s="1"/>
    </row>
    <row r="10" spans="1:7" x14ac:dyDescent="0.25">
      <c r="A10" s="1"/>
      <c r="B10" s="23" t="s">
        <v>183</v>
      </c>
      <c r="C10" s="21">
        <f>'Fane 10. Anlægsprojekter (§19) '!H11</f>
        <v>0</v>
      </c>
      <c r="D10" s="14" t="s">
        <v>3</v>
      </c>
      <c r="E10" s="9">
        <f>'Fane 10. Anlægsprojekter (§19) '!F11+'Fane 10. Anlægsprojekter (§19) '!J11</f>
        <v>0</v>
      </c>
      <c r="F10" s="14" t="s">
        <v>3</v>
      </c>
      <c r="G10" s="1"/>
    </row>
    <row r="11" spans="1:7" x14ac:dyDescent="0.25">
      <c r="A11" s="1"/>
      <c r="B11" s="35" t="s">
        <v>302</v>
      </c>
      <c r="C11" s="21">
        <v>0</v>
      </c>
      <c r="D11" s="14" t="s">
        <v>3</v>
      </c>
      <c r="E11" s="9">
        <v>59844</v>
      </c>
      <c r="F11" s="14" t="s">
        <v>3</v>
      </c>
      <c r="G11" s="1"/>
    </row>
    <row r="12" spans="1:7" x14ac:dyDescent="0.25">
      <c r="A12" s="1"/>
      <c r="B12" s="23" t="s">
        <v>303</v>
      </c>
      <c r="C12" s="21">
        <v>18754</v>
      </c>
      <c r="D12" s="14" t="s">
        <v>3</v>
      </c>
      <c r="E12" s="9">
        <v>2516195</v>
      </c>
      <c r="F12" s="14" t="s">
        <v>3</v>
      </c>
      <c r="G12" s="1"/>
    </row>
    <row r="13" spans="1:7" x14ac:dyDescent="0.25">
      <c r="A13" s="1"/>
      <c r="B13" s="23" t="s">
        <v>304</v>
      </c>
      <c r="C13" s="21">
        <v>176380</v>
      </c>
      <c r="D13" s="14" t="s">
        <v>3</v>
      </c>
      <c r="E13" s="9">
        <v>64738</v>
      </c>
      <c r="F13" s="14" t="s">
        <v>3</v>
      </c>
      <c r="G13" s="1"/>
    </row>
    <row r="14" spans="1:7" x14ac:dyDescent="0.25">
      <c r="A14" s="1"/>
      <c r="B14" s="23" t="s">
        <v>305</v>
      </c>
      <c r="C14" s="21">
        <v>0</v>
      </c>
      <c r="D14" s="14" t="s">
        <v>3</v>
      </c>
      <c r="E14" s="9">
        <v>33011</v>
      </c>
      <c r="F14" s="14" t="s">
        <v>3</v>
      </c>
      <c r="G14" s="1"/>
    </row>
    <row r="15" spans="1:7" x14ac:dyDescent="0.25">
      <c r="A15" s="1"/>
      <c r="B15" s="23" t="s">
        <v>306</v>
      </c>
      <c r="C15" s="21">
        <v>1156170</v>
      </c>
      <c r="D15" s="14" t="s">
        <v>3</v>
      </c>
      <c r="E15" s="9">
        <v>1324252</v>
      </c>
      <c r="F15" s="14" t="s">
        <v>3</v>
      </c>
      <c r="G15" s="1"/>
    </row>
    <row r="16" spans="1:7" x14ac:dyDescent="0.25">
      <c r="A16" s="1"/>
      <c r="B16" s="23" t="s">
        <v>309</v>
      </c>
      <c r="C16" s="21">
        <v>174568</v>
      </c>
      <c r="D16" s="14" t="s">
        <v>3</v>
      </c>
      <c r="E16" s="9">
        <v>0</v>
      </c>
      <c r="F16" s="14"/>
      <c r="G16" s="1"/>
    </row>
    <row r="17" spans="1:7" x14ac:dyDescent="0.25">
      <c r="A17" s="1"/>
      <c r="B17" s="30" t="s">
        <v>173</v>
      </c>
      <c r="C17" s="12">
        <f>SUM(C10:C16)</f>
        <v>1525872</v>
      </c>
      <c r="D17" s="13" t="s">
        <v>3</v>
      </c>
      <c r="E17" s="12">
        <f>SUM(E10:E16)</f>
        <v>3998040</v>
      </c>
      <c r="F17" s="13" t="s">
        <v>3</v>
      </c>
      <c r="G17" s="1"/>
    </row>
    <row r="18" spans="1:7" x14ac:dyDescent="0.25">
      <c r="A18" s="1"/>
      <c r="B18" s="30" t="s">
        <v>261</v>
      </c>
      <c r="C18" s="12">
        <f>C17*(1+'Fane 15. Nøgletal'!C16)</f>
        <v>1649162.4576000001</v>
      </c>
      <c r="D18" s="13" t="s">
        <v>3</v>
      </c>
      <c r="E18" s="12">
        <f>E17*(1+'Fane 15. Nøgletal'!C16)</f>
        <v>4321081.6320000002</v>
      </c>
      <c r="F18" s="13"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39"/>
      <c r="B51" s="39"/>
      <c r="C51" s="39"/>
      <c r="D51" s="39"/>
      <c r="E51" s="39"/>
      <c r="F51" s="39"/>
      <c r="G51" s="39"/>
    </row>
    <row r="52" spans="1:7" x14ac:dyDescent="0.25">
      <c r="A52" s="39"/>
      <c r="B52" s="39"/>
      <c r="C52" s="39"/>
      <c r="D52" s="39"/>
      <c r="E52" s="39"/>
      <c r="F52" s="39"/>
      <c r="G52" s="39"/>
    </row>
    <row r="53" spans="1:7" x14ac:dyDescent="0.25">
      <c r="A53" s="39"/>
      <c r="B53" s="39"/>
      <c r="C53" s="39"/>
      <c r="D53" s="39"/>
      <c r="E53" s="39"/>
      <c r="F53" s="39"/>
      <c r="G53" s="39"/>
    </row>
  </sheetData>
  <sheetProtection algorithmName="SHA-512" hashValue="mJxcnQaxL9fO3IHNK99uxGErvVszRbkmW4iDg2Oo9Cj66uuWor6FOgzcqQZYXSc+KQxIEkrJ7GS1jKM8w5PX8w==" saltValue="uc8njmoSXkGKg16OVdI3L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5"/>
  <sheetViews>
    <sheetView showGridLines="0" view="pageLayout" zoomScaleNormal="100" workbookViewId="0"/>
  </sheetViews>
  <sheetFormatPr defaultColWidth="9" defaultRowHeight="15" x14ac:dyDescent="0.25"/>
  <cols>
    <col min="1" max="1" width="5" style="2" customWidth="1"/>
    <col min="2" max="2" width="34.2851562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5" t="s">
        <v>207</v>
      </c>
      <c r="C3" s="115"/>
      <c r="D3" s="115"/>
      <c r="E3" s="115"/>
      <c r="F3" s="115"/>
      <c r="G3" s="1"/>
    </row>
    <row r="4" spans="1:7" ht="15" customHeight="1" x14ac:dyDescent="0.25">
      <c r="A4" s="1"/>
      <c r="B4" s="115"/>
      <c r="C4" s="115"/>
      <c r="D4" s="115"/>
      <c r="E4" s="115"/>
      <c r="F4" s="115"/>
      <c r="G4" s="1"/>
    </row>
    <row r="5" spans="1:7" x14ac:dyDescent="0.25">
      <c r="A5" s="1"/>
      <c r="B5" s="1"/>
      <c r="C5" s="1"/>
      <c r="D5" s="1"/>
      <c r="E5" s="1"/>
      <c r="F5" s="1"/>
      <c r="G5" s="1"/>
    </row>
    <row r="6" spans="1:7" x14ac:dyDescent="0.25">
      <c r="A6" s="1"/>
      <c r="B6" s="1"/>
      <c r="C6" s="1"/>
      <c r="D6" s="1"/>
      <c r="E6" s="1"/>
      <c r="F6" s="1"/>
      <c r="G6" s="1"/>
    </row>
    <row r="7" spans="1:7" x14ac:dyDescent="0.25">
      <c r="A7" s="1"/>
      <c r="B7" s="81" t="s">
        <v>77</v>
      </c>
      <c r="C7" s="82"/>
      <c r="D7" s="82"/>
      <c r="E7" s="82"/>
      <c r="F7" s="83"/>
      <c r="G7" s="1"/>
    </row>
    <row r="8" spans="1:7" x14ac:dyDescent="0.25">
      <c r="A8" s="1"/>
      <c r="B8" s="90" t="s">
        <v>17</v>
      </c>
      <c r="C8" s="90" t="s">
        <v>11</v>
      </c>
      <c r="D8" s="91"/>
      <c r="E8" s="90" t="s">
        <v>29</v>
      </c>
      <c r="F8" s="96"/>
      <c r="G8" s="1"/>
    </row>
    <row r="9" spans="1:7" x14ac:dyDescent="0.25">
      <c r="A9" s="1"/>
      <c r="B9" s="23" t="s">
        <v>307</v>
      </c>
      <c r="C9" s="21">
        <v>189274</v>
      </c>
      <c r="D9" s="14" t="s">
        <v>3</v>
      </c>
      <c r="E9" s="21">
        <v>0</v>
      </c>
      <c r="F9" s="14" t="s">
        <v>3</v>
      </c>
      <c r="G9" s="1"/>
    </row>
    <row r="10" spans="1:7" x14ac:dyDescent="0.25">
      <c r="A10" s="1"/>
      <c r="B10" s="23" t="s">
        <v>302</v>
      </c>
      <c r="C10" s="21">
        <v>529057</v>
      </c>
      <c r="D10" s="14" t="s">
        <v>3</v>
      </c>
      <c r="E10" s="21">
        <v>0</v>
      </c>
      <c r="F10" s="14" t="s">
        <v>3</v>
      </c>
      <c r="G10" s="1"/>
    </row>
    <row r="11" spans="1:7" x14ac:dyDescent="0.25">
      <c r="A11" s="1"/>
      <c r="B11" s="23" t="s">
        <v>308</v>
      </c>
      <c r="C11" s="21">
        <v>1830994</v>
      </c>
      <c r="D11" s="14" t="s">
        <v>3</v>
      </c>
      <c r="E11" s="21">
        <v>0</v>
      </c>
      <c r="F11" s="14" t="s">
        <v>3</v>
      </c>
      <c r="G11" s="1"/>
    </row>
    <row r="12" spans="1:7" x14ac:dyDescent="0.25">
      <c r="A12" s="1"/>
      <c r="B12" s="23" t="s">
        <v>309</v>
      </c>
      <c r="C12" s="21">
        <v>1745683</v>
      </c>
      <c r="D12" s="14" t="s">
        <v>3</v>
      </c>
      <c r="E12" s="21">
        <v>0</v>
      </c>
      <c r="F12" s="14" t="s">
        <v>3</v>
      </c>
      <c r="G12" s="1"/>
    </row>
    <row r="13" spans="1:7" x14ac:dyDescent="0.25">
      <c r="A13" s="1"/>
      <c r="B13" s="23"/>
      <c r="C13" s="21"/>
      <c r="D13" s="14" t="s">
        <v>3</v>
      </c>
      <c r="E13" s="21"/>
      <c r="F13" s="14" t="s">
        <v>3</v>
      </c>
      <c r="G13" s="1"/>
    </row>
    <row r="14" spans="1:7" x14ac:dyDescent="0.25">
      <c r="A14" s="1"/>
      <c r="B14" s="23"/>
      <c r="C14" s="21"/>
      <c r="D14" s="14" t="s">
        <v>3</v>
      </c>
      <c r="E14" s="21"/>
      <c r="F14" s="14" t="s">
        <v>3</v>
      </c>
      <c r="G14" s="1"/>
    </row>
    <row r="15" spans="1:7" x14ac:dyDescent="0.25">
      <c r="A15" s="1"/>
      <c r="B15" s="23"/>
      <c r="C15" s="21"/>
      <c r="D15" s="14" t="s">
        <v>3</v>
      </c>
      <c r="E15" s="21"/>
      <c r="F15" s="14" t="s">
        <v>3</v>
      </c>
      <c r="G15" s="1"/>
    </row>
    <row r="16" spans="1:7" x14ac:dyDescent="0.25">
      <c r="A16" s="1"/>
      <c r="B16" s="23"/>
      <c r="C16" s="21"/>
      <c r="D16" s="14" t="s">
        <v>3</v>
      </c>
      <c r="E16" s="21"/>
      <c r="F16" s="14" t="s">
        <v>3</v>
      </c>
      <c r="G16" s="1"/>
    </row>
    <row r="17" spans="1:7" x14ac:dyDescent="0.25">
      <c r="A17" s="1"/>
      <c r="B17" s="23"/>
      <c r="C17" s="21"/>
      <c r="D17" s="14" t="s">
        <v>3</v>
      </c>
      <c r="E17" s="21"/>
      <c r="F17" s="14" t="s">
        <v>3</v>
      </c>
      <c r="G17" s="1"/>
    </row>
    <row r="18" spans="1:7" x14ac:dyDescent="0.25">
      <c r="A18" s="1"/>
      <c r="B18" s="30" t="s">
        <v>262</v>
      </c>
      <c r="C18" s="12">
        <f>SUM(C9:C17)</f>
        <v>4295008</v>
      </c>
      <c r="D18" s="13" t="s">
        <v>3</v>
      </c>
      <c r="E18" s="12">
        <f>SUM(E9:E17)</f>
        <v>0</v>
      </c>
      <c r="F18" s="13" t="s">
        <v>3</v>
      </c>
      <c r="G18" s="1"/>
    </row>
    <row r="19" spans="1:7" x14ac:dyDescent="0.25">
      <c r="A19" s="1"/>
      <c r="B19" s="30" t="s">
        <v>263</v>
      </c>
      <c r="C19" s="12">
        <f>C18*(1+'Fane 15. Nøgletal'!$C$16)^2</f>
        <v>5017121.8538291194</v>
      </c>
      <c r="D19" s="13" t="s">
        <v>3</v>
      </c>
      <c r="E19" s="12">
        <f>E18*(1+'Fane 15. Nøgletal'!$C$16)^2</f>
        <v>0</v>
      </c>
      <c r="F19" s="13" t="s">
        <v>3</v>
      </c>
      <c r="G19" s="1"/>
    </row>
    <row r="20" spans="1:7" x14ac:dyDescent="0.25">
      <c r="A20" s="1"/>
      <c r="B20" s="1"/>
      <c r="C20" s="1"/>
      <c r="D20" s="1"/>
      <c r="E20" s="1"/>
      <c r="F20" s="1"/>
      <c r="G20" s="1"/>
    </row>
    <row r="21" spans="1:7" x14ac:dyDescent="0.25">
      <c r="A21" s="1"/>
      <c r="B21" s="93"/>
      <c r="C21" s="93"/>
      <c r="D21" s="93"/>
      <c r="E21" s="93"/>
      <c r="F21" s="93"/>
      <c r="G21" s="1"/>
    </row>
    <row r="22" spans="1:7" x14ac:dyDescent="0.25">
      <c r="A22" s="1"/>
      <c r="B22" s="42"/>
      <c r="C22" s="42"/>
      <c r="D22" s="42"/>
      <c r="E22" s="42"/>
      <c r="F22" s="43"/>
      <c r="G22" s="1"/>
    </row>
    <row r="23" spans="1:7" x14ac:dyDescent="0.25">
      <c r="A23" s="1"/>
      <c r="B23" s="44"/>
      <c r="C23" s="45"/>
      <c r="D23" s="46"/>
      <c r="E23" s="45"/>
      <c r="F23" s="46"/>
      <c r="G23" s="1"/>
    </row>
    <row r="24" spans="1:7" x14ac:dyDescent="0.25">
      <c r="A24" s="1"/>
      <c r="B24" s="44"/>
      <c r="C24" s="45"/>
      <c r="D24" s="46"/>
      <c r="E24" s="45"/>
      <c r="F24" s="46"/>
      <c r="G24" s="1"/>
    </row>
    <row r="25" spans="1:7" x14ac:dyDescent="0.25">
      <c r="A25" s="1"/>
      <c r="B25" s="29"/>
      <c r="C25" s="47"/>
      <c r="D25" s="48"/>
      <c r="E25" s="47"/>
      <c r="F25" s="48"/>
      <c r="G25" s="1"/>
    </row>
    <row r="26" spans="1:7" x14ac:dyDescent="0.25">
      <c r="A26" s="1"/>
      <c r="B26" s="29"/>
      <c r="C26" s="47"/>
      <c r="D26" s="48"/>
      <c r="E26" s="47"/>
      <c r="F26" s="48"/>
      <c r="G26" s="1"/>
    </row>
    <row r="27" spans="1:7" x14ac:dyDescent="0.25">
      <c r="A27" s="1"/>
      <c r="B27" s="41"/>
      <c r="C27" s="41"/>
      <c r="D27" s="41"/>
      <c r="E27" s="41"/>
      <c r="F27" s="41"/>
      <c r="G27" s="1"/>
    </row>
    <row r="28" spans="1:7" x14ac:dyDescent="0.25">
      <c r="A28" s="1"/>
      <c r="B28" s="168"/>
      <c r="C28" s="168"/>
      <c r="D28" s="168"/>
      <c r="E28" s="168"/>
      <c r="F28" s="168"/>
      <c r="G28" s="1"/>
    </row>
    <row r="29" spans="1:7" x14ac:dyDescent="0.25">
      <c r="A29" s="1"/>
      <c r="B29" s="42"/>
      <c r="C29" s="42"/>
      <c r="D29" s="42"/>
      <c r="E29" s="42"/>
      <c r="F29" s="43"/>
      <c r="G29" s="1"/>
    </row>
    <row r="30" spans="1:7" x14ac:dyDescent="0.25">
      <c r="A30" s="1"/>
      <c r="B30" s="44"/>
      <c r="C30" s="45"/>
      <c r="D30" s="46"/>
      <c r="E30" s="45"/>
      <c r="F30" s="46"/>
      <c r="G30" s="1"/>
    </row>
    <row r="31" spans="1:7" x14ac:dyDescent="0.25">
      <c r="A31" s="1"/>
      <c r="B31" s="44"/>
      <c r="C31" s="45"/>
      <c r="D31" s="46"/>
      <c r="E31" s="45"/>
      <c r="F31" s="46"/>
      <c r="G31" s="1"/>
    </row>
    <row r="32" spans="1:7" x14ac:dyDescent="0.25">
      <c r="A32" s="1"/>
      <c r="B32" s="29"/>
      <c r="C32" s="47"/>
      <c r="D32" s="48"/>
      <c r="E32" s="47"/>
      <c r="F32" s="48"/>
      <c r="G32" s="1"/>
    </row>
    <row r="33" spans="1:7" x14ac:dyDescent="0.25">
      <c r="A33" s="1"/>
      <c r="B33" s="29"/>
      <c r="C33" s="47"/>
      <c r="D33" s="48"/>
      <c r="E33" s="47"/>
      <c r="F33" s="48"/>
      <c r="G33" s="1"/>
    </row>
    <row r="34" spans="1:7" x14ac:dyDescent="0.25">
      <c r="A34" s="1"/>
      <c r="B34" s="41"/>
      <c r="C34" s="41"/>
      <c r="D34" s="41"/>
      <c r="E34" s="41"/>
      <c r="F34" s="41"/>
      <c r="G34" s="1"/>
    </row>
    <row r="35" spans="1:7" x14ac:dyDescent="0.25">
      <c r="A35" s="1"/>
      <c r="B35" s="168"/>
      <c r="C35" s="168"/>
      <c r="D35" s="168"/>
      <c r="E35" s="168"/>
      <c r="F35" s="168"/>
      <c r="G35" s="1"/>
    </row>
    <row r="36" spans="1:7" x14ac:dyDescent="0.25">
      <c r="A36" s="1"/>
      <c r="B36" s="42"/>
      <c r="C36" s="42"/>
      <c r="D36" s="42"/>
      <c r="E36" s="42"/>
      <c r="F36" s="43"/>
      <c r="G36" s="1"/>
    </row>
    <row r="37" spans="1:7" x14ac:dyDescent="0.25">
      <c r="A37" s="1"/>
      <c r="B37" s="44"/>
      <c r="C37" s="45"/>
      <c r="D37" s="46"/>
      <c r="E37" s="45"/>
      <c r="F37" s="46"/>
      <c r="G37" s="1"/>
    </row>
    <row r="38" spans="1:7" x14ac:dyDescent="0.25">
      <c r="A38" s="1"/>
      <c r="B38" s="44"/>
      <c r="C38" s="45"/>
      <c r="D38" s="46"/>
      <c r="E38" s="45"/>
      <c r="F38" s="46"/>
      <c r="G38" s="1"/>
    </row>
    <row r="39" spans="1:7" x14ac:dyDescent="0.25">
      <c r="A39" s="1"/>
      <c r="B39" s="29"/>
      <c r="C39" s="47"/>
      <c r="D39" s="48"/>
      <c r="E39" s="47"/>
      <c r="F39" s="48"/>
      <c r="G39" s="1"/>
    </row>
    <row r="40" spans="1:7" x14ac:dyDescent="0.25">
      <c r="A40" s="1"/>
      <c r="B40" s="29"/>
      <c r="C40" s="47"/>
      <c r="D40" s="48"/>
      <c r="E40" s="47"/>
      <c r="F40" s="48"/>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Zp1fpwapa8yO8vv2SWWlRUv8IxknSP4rv5pyGZZJT7pPTN+D8AFqKLwdWWt8v2DFSXAtyOwUHEQlwiUzZFtkNA==" saltValue="sfAnAgm24/UoHGpzf3Eq4g==" spinCount="100000" sheet="1" objects="1" scenarios="1"/>
  <mergeCells count="3">
    <mergeCell ref="B35:F35"/>
    <mergeCell ref="B3:F4"/>
    <mergeCell ref="B28:F2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 defaultRowHeight="15" x14ac:dyDescent="0.25"/>
  <cols>
    <col min="1" max="1" width="5" style="2" customWidth="1"/>
    <col min="2" max="2" width="34.28515625" style="2" customWidth="1"/>
    <col min="3" max="3" width="16.28515625" style="2" customWidth="1"/>
    <col min="4" max="4" width="3.28515625" style="2" customWidth="1"/>
    <col min="5" max="5" width="19" style="2" customWidth="1"/>
    <col min="6" max="6" width="3.28515625" style="2" customWidth="1"/>
    <col min="7" max="7" width="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1" t="s">
        <v>208</v>
      </c>
      <c r="C3" s="121"/>
      <c r="D3" s="121"/>
      <c r="E3" s="121"/>
      <c r="F3" s="121"/>
      <c r="G3" s="1"/>
    </row>
    <row r="4" spans="1:7" ht="15" customHeight="1" x14ac:dyDescent="0.25">
      <c r="A4" s="1"/>
      <c r="B4" s="121"/>
      <c r="C4" s="121"/>
      <c r="D4" s="121"/>
      <c r="E4" s="121"/>
      <c r="F4" s="121"/>
      <c r="G4" s="1"/>
    </row>
    <row r="5" spans="1:7" x14ac:dyDescent="0.25">
      <c r="A5" s="1"/>
      <c r="B5" s="121"/>
      <c r="C5" s="121"/>
      <c r="D5" s="121"/>
      <c r="E5" s="121"/>
      <c r="F5" s="12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4.25" customHeight="1" x14ac:dyDescent="0.25">
      <c r="A9" s="1"/>
      <c r="B9" s="131" t="s">
        <v>108</v>
      </c>
      <c r="C9" s="132"/>
      <c r="D9" s="132"/>
      <c r="E9" s="132"/>
      <c r="F9" s="133"/>
      <c r="G9" s="1"/>
    </row>
    <row r="10" spans="1:7" x14ac:dyDescent="0.25">
      <c r="A10" s="1"/>
      <c r="B10" s="162" t="s">
        <v>247</v>
      </c>
      <c r="C10" s="163"/>
      <c r="D10" s="164"/>
      <c r="E10" s="9">
        <v>0</v>
      </c>
      <c r="F10" s="14" t="s">
        <v>3</v>
      </c>
      <c r="G10" s="1"/>
    </row>
    <row r="11" spans="1:7" x14ac:dyDescent="0.25">
      <c r="A11" s="1"/>
      <c r="B11" s="169" t="s">
        <v>10</v>
      </c>
      <c r="C11" s="170"/>
      <c r="D11" s="171"/>
      <c r="E11" s="9">
        <f>-E10*'Fane 5. Individuelt eff. krav'!G9</f>
        <v>0</v>
      </c>
      <c r="F11" s="14" t="s">
        <v>3</v>
      </c>
      <c r="G11" s="1"/>
    </row>
    <row r="12" spans="1:7" x14ac:dyDescent="0.25">
      <c r="A12" s="1"/>
      <c r="B12" s="169" t="s">
        <v>24</v>
      </c>
      <c r="C12" s="170"/>
      <c r="D12" s="171"/>
      <c r="E12" s="9">
        <f>-E10*'Fane 15. Nøgletal'!C33</f>
        <v>0</v>
      </c>
      <c r="F12" s="14" t="s">
        <v>3</v>
      </c>
      <c r="G12" s="1"/>
    </row>
    <row r="13" spans="1:7" x14ac:dyDescent="0.25">
      <c r="A13" s="1"/>
      <c r="B13" s="131" t="s">
        <v>109</v>
      </c>
      <c r="C13" s="132"/>
      <c r="D13" s="133"/>
      <c r="E13" s="12">
        <f>SUM(E10:E12)*(1+'Fane 15. Nøgletal'!C16)^2</f>
        <v>0</v>
      </c>
      <c r="F13" s="13" t="s">
        <v>3</v>
      </c>
      <c r="G13" s="1"/>
    </row>
    <row r="14" spans="1:7" x14ac:dyDescent="0.25">
      <c r="A14" s="1"/>
      <c r="B14" s="1"/>
      <c r="C14" s="1"/>
      <c r="D14" s="1"/>
      <c r="E14" s="1"/>
      <c r="F14" s="1"/>
      <c r="G14" s="1"/>
    </row>
    <row r="15" spans="1:7" x14ac:dyDescent="0.25">
      <c r="A15" s="1"/>
      <c r="B15" s="131" t="s">
        <v>127</v>
      </c>
      <c r="C15" s="132"/>
      <c r="D15" s="132"/>
      <c r="E15" s="132"/>
      <c r="F15" s="133"/>
      <c r="G15" s="1"/>
    </row>
    <row r="16" spans="1:7" x14ac:dyDescent="0.25">
      <c r="A16" s="1"/>
      <c r="B16" s="162" t="s">
        <v>247</v>
      </c>
      <c r="C16" s="163"/>
      <c r="D16" s="164"/>
      <c r="E16" s="9">
        <v>0</v>
      </c>
      <c r="F16" s="14" t="s">
        <v>3</v>
      </c>
      <c r="G16" s="1"/>
    </row>
    <row r="17" spans="1:7" x14ac:dyDescent="0.25">
      <c r="A17" s="1"/>
      <c r="B17" s="169" t="s">
        <v>10</v>
      </c>
      <c r="C17" s="170"/>
      <c r="D17" s="171"/>
      <c r="E17" s="9">
        <f>-E16*'Fane 5. Individuelt eff. krav'!G9</f>
        <v>0</v>
      </c>
      <c r="F17" s="14" t="s">
        <v>3</v>
      </c>
      <c r="G17" s="1"/>
    </row>
    <row r="18" spans="1:7" x14ac:dyDescent="0.25">
      <c r="A18" s="1"/>
      <c r="B18" s="169" t="s">
        <v>24</v>
      </c>
      <c r="C18" s="170"/>
      <c r="D18" s="171"/>
      <c r="E18" s="9">
        <f>-E16*'Fane 15. Nøgletal'!C33</f>
        <v>0</v>
      </c>
      <c r="F18" s="14" t="s">
        <v>3</v>
      </c>
      <c r="G18" s="1"/>
    </row>
    <row r="19" spans="1:7" x14ac:dyDescent="0.25">
      <c r="A19" s="1"/>
      <c r="B19" s="131" t="s">
        <v>128</v>
      </c>
      <c r="C19" s="132"/>
      <c r="D19" s="133"/>
      <c r="E19" s="12">
        <f>SUM(E16:E18)*(1+'Fane 15. Nøgletal'!C16)^3</f>
        <v>0</v>
      </c>
      <c r="F19" s="13" t="s">
        <v>3</v>
      </c>
      <c r="G19" s="1"/>
    </row>
    <row r="20" spans="1:7" x14ac:dyDescent="0.25">
      <c r="A20" s="1"/>
      <c r="B20" s="1"/>
      <c r="C20" s="1"/>
      <c r="D20" s="1"/>
      <c r="E20" s="1"/>
      <c r="F20" s="1"/>
      <c r="G20" s="1"/>
    </row>
    <row r="21" spans="1:7" x14ac:dyDescent="0.25">
      <c r="A21" s="1"/>
      <c r="B21" s="131" t="s">
        <v>174</v>
      </c>
      <c r="C21" s="132"/>
      <c r="D21" s="132"/>
      <c r="E21" s="132"/>
      <c r="F21" s="133"/>
      <c r="G21" s="1"/>
    </row>
    <row r="22" spans="1:7" x14ac:dyDescent="0.25">
      <c r="A22" s="1"/>
      <c r="B22" s="162" t="s">
        <v>247</v>
      </c>
      <c r="C22" s="163"/>
      <c r="D22" s="164"/>
      <c r="E22" s="9">
        <v>0</v>
      </c>
      <c r="F22" s="14" t="s">
        <v>3</v>
      </c>
      <c r="G22" s="1"/>
    </row>
    <row r="23" spans="1:7" x14ac:dyDescent="0.25">
      <c r="A23" s="1"/>
      <c r="B23" s="169" t="s">
        <v>10</v>
      </c>
      <c r="C23" s="170"/>
      <c r="D23" s="171"/>
      <c r="E23" s="9">
        <f>-E22*'Fane 5. Individuelt eff. krav'!G9</f>
        <v>0</v>
      </c>
      <c r="F23" s="14" t="s">
        <v>3</v>
      </c>
      <c r="G23" s="1"/>
    </row>
    <row r="24" spans="1:7" x14ac:dyDescent="0.25">
      <c r="A24" s="1"/>
      <c r="B24" s="169" t="s">
        <v>24</v>
      </c>
      <c r="C24" s="170"/>
      <c r="D24" s="171"/>
      <c r="E24" s="9">
        <f>-E22*'Fane 15. Nøgletal'!C33</f>
        <v>0</v>
      </c>
      <c r="F24" s="14" t="s">
        <v>3</v>
      </c>
      <c r="G24" s="1"/>
    </row>
    <row r="25" spans="1:7" x14ac:dyDescent="0.25">
      <c r="A25" s="1"/>
      <c r="B25" s="131" t="s">
        <v>175</v>
      </c>
      <c r="C25" s="132"/>
      <c r="D25" s="133"/>
      <c r="E25" s="12">
        <f>SUM(E22:E24)*(1+'Fane 15. Nøgletal'!C16)^4</f>
        <v>0</v>
      </c>
      <c r="F25" s="13" t="s">
        <v>3</v>
      </c>
      <c r="G25" s="1"/>
    </row>
    <row r="26" spans="1:7" x14ac:dyDescent="0.25">
      <c r="A26" s="1"/>
      <c r="B26" s="1"/>
      <c r="C26" s="1"/>
      <c r="D26" s="1"/>
      <c r="E26" s="1"/>
      <c r="F26" s="1"/>
      <c r="G26" s="1"/>
    </row>
    <row r="27" spans="1:7" x14ac:dyDescent="0.25">
      <c r="A27" s="1"/>
      <c r="B27" s="131" t="s">
        <v>245</v>
      </c>
      <c r="C27" s="132"/>
      <c r="D27" s="132"/>
      <c r="E27" s="132"/>
      <c r="F27" s="133"/>
      <c r="G27" s="1"/>
    </row>
    <row r="28" spans="1:7" x14ac:dyDescent="0.25">
      <c r="A28" s="1"/>
      <c r="B28" s="162" t="s">
        <v>247</v>
      </c>
      <c r="C28" s="163"/>
      <c r="D28" s="164"/>
      <c r="E28" s="9">
        <v>0</v>
      </c>
      <c r="F28" s="14" t="s">
        <v>3</v>
      </c>
      <c r="G28" s="1"/>
    </row>
    <row r="29" spans="1:7" x14ac:dyDescent="0.25">
      <c r="A29" s="1"/>
      <c r="B29" s="169" t="s">
        <v>10</v>
      </c>
      <c r="C29" s="170"/>
      <c r="D29" s="171"/>
      <c r="E29" s="9">
        <f>-E28*'Fane 5. Individuelt eff. krav'!G9</f>
        <v>0</v>
      </c>
      <c r="F29" s="14" t="s">
        <v>3</v>
      </c>
      <c r="G29" s="1"/>
    </row>
    <row r="30" spans="1:7" x14ac:dyDescent="0.25">
      <c r="A30" s="1"/>
      <c r="B30" s="169" t="s">
        <v>24</v>
      </c>
      <c r="C30" s="170"/>
      <c r="D30" s="171"/>
      <c r="E30" s="9">
        <f>-E28*'Fane 15. Nøgletal'!C33</f>
        <v>0</v>
      </c>
      <c r="F30" s="14" t="s">
        <v>3</v>
      </c>
      <c r="G30" s="1"/>
    </row>
    <row r="31" spans="1:7" x14ac:dyDescent="0.25">
      <c r="A31" s="1"/>
      <c r="B31" s="131" t="s">
        <v>246</v>
      </c>
      <c r="C31" s="132"/>
      <c r="D31" s="133"/>
      <c r="E31" s="12">
        <f>SUM(E28:E30)*(1+'Fane 15. Nøgletal'!C16)^5</f>
        <v>0</v>
      </c>
      <c r="F31" s="13" t="s">
        <v>3</v>
      </c>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39"/>
      <c r="B45" s="39"/>
      <c r="C45" s="39"/>
      <c r="D45" s="39"/>
      <c r="E45" s="39"/>
      <c r="F45" s="39"/>
      <c r="G45" s="39"/>
    </row>
    <row r="46" spans="1:7" x14ac:dyDescent="0.25">
      <c r="A46" s="39"/>
      <c r="B46" s="39"/>
      <c r="C46" s="39"/>
      <c r="D46" s="39"/>
      <c r="E46" s="39"/>
      <c r="F46" s="39"/>
      <c r="G46" s="39"/>
    </row>
    <row r="47" spans="1:7" x14ac:dyDescent="0.25">
      <c r="A47" s="39"/>
      <c r="B47" s="39"/>
      <c r="C47" s="39"/>
      <c r="D47" s="39"/>
      <c r="E47" s="39"/>
      <c r="F47" s="39"/>
      <c r="G47" s="39"/>
    </row>
    <row r="48" spans="1:7" x14ac:dyDescent="0.25">
      <c r="A48" s="39"/>
      <c r="B48" s="39"/>
      <c r="C48" s="39"/>
      <c r="D48" s="39"/>
      <c r="E48" s="39"/>
      <c r="F48" s="39"/>
      <c r="G48" s="39"/>
    </row>
    <row r="49" spans="1:7" x14ac:dyDescent="0.25">
      <c r="A49" s="39"/>
      <c r="B49" s="39"/>
      <c r="C49" s="39"/>
      <c r="D49" s="39"/>
      <c r="E49" s="39"/>
      <c r="F49" s="39"/>
      <c r="G49" s="39"/>
    </row>
    <row r="50" spans="1:7" x14ac:dyDescent="0.25">
      <c r="A50" s="39"/>
      <c r="B50" s="39"/>
      <c r="C50" s="39"/>
      <c r="D50" s="39"/>
      <c r="E50" s="39"/>
      <c r="F50" s="39"/>
      <c r="G50" s="39"/>
    </row>
  </sheetData>
  <sheetProtection algorithmName="SHA-512" hashValue="HdAb4gn836nIsL34luHfMXWxEK1n9cYbxhfX0MoTtKJGt8wOAOph8nBNM7ZSirrlRfivnLJKKSskc/Z58nOBJA==" saltValue="HSbNIAdF+BSgd2Jsydbdfw==" spinCount="100000" sheet="1" objects="1" scenarios="1"/>
  <mergeCells count="21">
    <mergeCell ref="B27:F27"/>
    <mergeCell ref="B28:D28"/>
    <mergeCell ref="B29:D29"/>
    <mergeCell ref="B30:D30"/>
    <mergeCell ref="B31:D31"/>
    <mergeCell ref="B3:F5"/>
    <mergeCell ref="B25:D25"/>
    <mergeCell ref="B21:F21"/>
    <mergeCell ref="B22:D22"/>
    <mergeCell ref="B19:D19"/>
    <mergeCell ref="B16:D16"/>
    <mergeCell ref="B17:D17"/>
    <mergeCell ref="B18:D18"/>
    <mergeCell ref="B23:D23"/>
    <mergeCell ref="B24:D24"/>
    <mergeCell ref="B13:D13"/>
    <mergeCell ref="B15:F15"/>
    <mergeCell ref="B9:F9"/>
    <mergeCell ref="B10:D10"/>
    <mergeCell ref="B11:D11"/>
    <mergeCell ref="B12:D1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6"/>
  <sheetViews>
    <sheetView showGridLines="0" view="pageLayout" zoomScaleNormal="100" workbookViewId="0"/>
  </sheetViews>
  <sheetFormatPr defaultColWidth="9" defaultRowHeight="15" x14ac:dyDescent="0.25"/>
  <cols>
    <col min="1" max="1" width="5.28515625" style="2" customWidth="1"/>
    <col min="2" max="2" width="41" style="2" bestFit="1" customWidth="1"/>
    <col min="3" max="3" width="14" style="2" customWidth="1"/>
    <col min="4" max="4" width="3.28515625" style="2" customWidth="1"/>
    <col min="5" max="5" width="14" style="2" customWidth="1"/>
    <col min="6" max="6" width="3.28515625" style="2" customWidth="1"/>
    <col min="7" max="7" width="5.855468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1" t="s">
        <v>209</v>
      </c>
      <c r="C3" s="121"/>
      <c r="D3" s="121"/>
      <c r="E3" s="121"/>
      <c r="F3" s="121"/>
      <c r="G3" s="1"/>
    </row>
    <row r="4" spans="1:7" ht="25.5" customHeight="1" x14ac:dyDescent="0.25">
      <c r="A4" s="1"/>
      <c r="B4" s="121"/>
      <c r="C4" s="121"/>
      <c r="D4" s="121"/>
      <c r="E4" s="121"/>
      <c r="F4" s="12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31" t="s">
        <v>110</v>
      </c>
      <c r="C8" s="132"/>
      <c r="D8" s="132"/>
      <c r="E8" s="132"/>
      <c r="F8" s="133"/>
      <c r="G8" s="1"/>
    </row>
    <row r="9" spans="1:7" ht="15" customHeight="1" x14ac:dyDescent="0.25">
      <c r="A9" s="1"/>
      <c r="B9" s="95" t="s">
        <v>111</v>
      </c>
      <c r="C9" s="159" t="s">
        <v>11</v>
      </c>
      <c r="D9" s="161"/>
      <c r="E9" s="172" t="s">
        <v>29</v>
      </c>
      <c r="F9" s="173"/>
      <c r="G9" s="1"/>
    </row>
    <row r="10" spans="1:7" ht="26.25" x14ac:dyDescent="0.25">
      <c r="A10" s="1"/>
      <c r="B10" s="70" t="s">
        <v>276</v>
      </c>
      <c r="C10" s="9">
        <v>0</v>
      </c>
      <c r="D10" s="14" t="s">
        <v>3</v>
      </c>
      <c r="E10" s="9">
        <v>0</v>
      </c>
      <c r="F10" s="14" t="s">
        <v>3</v>
      </c>
      <c r="G10" s="1"/>
    </row>
    <row r="11" spans="1:7" x14ac:dyDescent="0.25">
      <c r="A11" s="1"/>
      <c r="B11" s="23"/>
      <c r="C11" s="9"/>
      <c r="D11" s="14" t="s">
        <v>3</v>
      </c>
      <c r="E11" s="9"/>
      <c r="F11" s="14" t="s">
        <v>3</v>
      </c>
      <c r="G11" s="1"/>
    </row>
    <row r="12" spans="1:7" ht="28.5" customHeight="1" x14ac:dyDescent="0.25">
      <c r="A12" s="1"/>
      <c r="B12" s="20" t="s">
        <v>176</v>
      </c>
      <c r="C12" s="12">
        <f>SUM(C10:C10)</f>
        <v>0</v>
      </c>
      <c r="D12" s="13" t="s">
        <v>3</v>
      </c>
      <c r="E12" s="12">
        <f>SUM(E10:E10)</f>
        <v>0</v>
      </c>
      <c r="F12" s="13" t="s">
        <v>3</v>
      </c>
      <c r="G12" s="1"/>
    </row>
    <row r="13" spans="1:7" ht="27" customHeight="1" x14ac:dyDescent="0.25">
      <c r="A13" s="1"/>
      <c r="B13" s="20" t="s">
        <v>264</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xphA6Z3h3abvkoRU2Ky+/Jkzn8SZbqK6o+nQnrSwp/QOVliRjJwcuCLagJT8gkZQTe1s3IQW1PTWlDUoTNdzNg==" saltValue="PCsH/abpTCNQfatvg/Ib3w=="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1"/>
  <sheetViews>
    <sheetView showGridLines="0" view="pageLayout" zoomScaleNormal="100" workbookViewId="0"/>
  </sheetViews>
  <sheetFormatPr defaultColWidth="9" defaultRowHeight="15" x14ac:dyDescent="0.25"/>
  <cols>
    <col min="1" max="1" width="3.42578125" style="2" customWidth="1"/>
    <col min="2" max="2" width="37.28515625" style="2" customWidth="1"/>
    <col min="3" max="3" width="15.7109375" style="2" customWidth="1"/>
    <col min="4" max="4" width="3.28515625" style="2" customWidth="1"/>
    <col min="5" max="5" width="18.140625" style="2" customWidth="1"/>
    <col min="6" max="6" width="3.28515625" style="2" customWidth="1"/>
    <col min="7" max="7" width="3.710937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21" t="s">
        <v>210</v>
      </c>
      <c r="C3" s="121"/>
      <c r="D3" s="121"/>
      <c r="E3" s="121"/>
      <c r="F3" s="121"/>
      <c r="G3" s="1"/>
    </row>
    <row r="4" spans="1:7" ht="25.5" customHeight="1" x14ac:dyDescent="0.25">
      <c r="A4" s="1"/>
      <c r="B4" s="121"/>
      <c r="C4" s="121"/>
      <c r="D4" s="121"/>
      <c r="E4" s="121"/>
      <c r="F4" s="121"/>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31" t="s">
        <v>265</v>
      </c>
      <c r="C9" s="132"/>
      <c r="D9" s="132"/>
      <c r="E9" s="132"/>
      <c r="F9" s="133"/>
      <c r="G9" s="1"/>
    </row>
    <row r="10" spans="1:7" ht="26.25" x14ac:dyDescent="0.25">
      <c r="A10" s="1"/>
      <c r="B10" s="95" t="s">
        <v>18</v>
      </c>
      <c r="C10" s="95" t="s">
        <v>11</v>
      </c>
      <c r="D10" s="96"/>
      <c r="E10" s="95" t="s">
        <v>29</v>
      </c>
      <c r="F10" s="96"/>
      <c r="G10" s="1"/>
    </row>
    <row r="11" spans="1:7" x14ac:dyDescent="0.25">
      <c r="A11" s="1"/>
      <c r="B11" s="70" t="s">
        <v>277</v>
      </c>
      <c r="C11" s="9">
        <v>0</v>
      </c>
      <c r="D11" s="14" t="s">
        <v>3</v>
      </c>
      <c r="E11" s="9">
        <v>0</v>
      </c>
      <c r="F11" s="14" t="s">
        <v>3</v>
      </c>
      <c r="G11" s="1"/>
    </row>
    <row r="12" spans="1:7" x14ac:dyDescent="0.25">
      <c r="A12" s="1"/>
      <c r="B12" s="30" t="s">
        <v>73</v>
      </c>
      <c r="C12" s="12">
        <f>SUM(C11:C11)</f>
        <v>0</v>
      </c>
      <c r="D12" s="13" t="s">
        <v>3</v>
      </c>
      <c r="E12" s="12">
        <f>SUM(E11:E11)</f>
        <v>0</v>
      </c>
      <c r="F12" s="13" t="s">
        <v>3</v>
      </c>
      <c r="G12" s="1"/>
    </row>
    <row r="13" spans="1:7" x14ac:dyDescent="0.25">
      <c r="A13" s="1"/>
      <c r="B13" s="30" t="s">
        <v>266</v>
      </c>
      <c r="C13" s="12">
        <f>C12*(1+'Fane 15. Nøgletal'!C16)</f>
        <v>0</v>
      </c>
      <c r="D13" s="13" t="s">
        <v>3</v>
      </c>
      <c r="E13" s="12">
        <f>E12*(1+'Fane 15. Nøgletal'!C16)</f>
        <v>0</v>
      </c>
      <c r="F13" s="13" t="s">
        <v>3</v>
      </c>
      <c r="G13" s="1"/>
    </row>
    <row r="14" spans="1:7" x14ac:dyDescent="0.25">
      <c r="A14" s="1"/>
      <c r="B14" s="1"/>
      <c r="C14" s="1"/>
      <c r="D14" s="1"/>
      <c r="E14" s="1"/>
      <c r="F14" s="1"/>
      <c r="G14" s="1"/>
    </row>
    <row r="15" spans="1:7" x14ac:dyDescent="0.25">
      <c r="A15" s="1"/>
      <c r="B15" s="168"/>
      <c r="C15" s="168"/>
      <c r="D15" s="168"/>
      <c r="E15" s="168"/>
      <c r="F15" s="168"/>
      <c r="G15" s="1"/>
    </row>
    <row r="16" spans="1:7" x14ac:dyDescent="0.25">
      <c r="A16" s="1"/>
      <c r="B16" s="43"/>
      <c r="C16" s="43"/>
      <c r="D16" s="43"/>
      <c r="E16" s="43"/>
      <c r="F16" s="43"/>
      <c r="G16" s="1"/>
    </row>
    <row r="17" spans="1:7" x14ac:dyDescent="0.25">
      <c r="A17" s="1"/>
      <c r="B17" s="44"/>
      <c r="C17" s="49"/>
      <c r="D17" s="46"/>
      <c r="E17" s="49"/>
      <c r="F17" s="46"/>
      <c r="G17" s="1"/>
    </row>
    <row r="18" spans="1:7" x14ac:dyDescent="0.25">
      <c r="A18" s="1"/>
      <c r="B18" s="29"/>
      <c r="C18" s="47"/>
      <c r="D18" s="48"/>
      <c r="E18" s="47"/>
      <c r="F18" s="48"/>
      <c r="G18" s="1"/>
    </row>
    <row r="19" spans="1:7" x14ac:dyDescent="0.25">
      <c r="A19" s="1"/>
      <c r="B19" s="29"/>
      <c r="C19" s="47"/>
      <c r="D19" s="48"/>
      <c r="E19" s="47"/>
      <c r="F19" s="48"/>
      <c r="G19" s="1"/>
    </row>
    <row r="20" spans="1:7" x14ac:dyDescent="0.25">
      <c r="A20" s="1"/>
      <c r="B20" s="41"/>
      <c r="C20" s="41"/>
      <c r="D20" s="41"/>
      <c r="E20" s="41"/>
      <c r="F20" s="41"/>
      <c r="G20" s="1"/>
    </row>
    <row r="21" spans="1:7" x14ac:dyDescent="0.25">
      <c r="A21" s="1"/>
      <c r="B21" s="168"/>
      <c r="C21" s="168"/>
      <c r="D21" s="168"/>
      <c r="E21" s="168"/>
      <c r="F21" s="168"/>
      <c r="G21" s="1"/>
    </row>
    <row r="22" spans="1:7" x14ac:dyDescent="0.25">
      <c r="A22" s="1"/>
      <c r="B22" s="43"/>
      <c r="C22" s="43"/>
      <c r="D22" s="43"/>
      <c r="E22" s="43"/>
      <c r="F22" s="43"/>
      <c r="G22" s="1"/>
    </row>
    <row r="23" spans="1:7" x14ac:dyDescent="0.25">
      <c r="A23" s="1"/>
      <c r="B23" s="44"/>
      <c r="C23" s="49"/>
      <c r="D23" s="46"/>
      <c r="E23" s="49"/>
      <c r="F23" s="46"/>
      <c r="G23" s="1"/>
    </row>
    <row r="24" spans="1:7" x14ac:dyDescent="0.25">
      <c r="A24" s="1"/>
      <c r="B24" s="29"/>
      <c r="C24" s="47"/>
      <c r="D24" s="48"/>
      <c r="E24" s="47"/>
      <c r="F24" s="48"/>
      <c r="G24" s="1"/>
    </row>
    <row r="25" spans="1:7" x14ac:dyDescent="0.25">
      <c r="A25" s="1"/>
      <c r="B25" s="29"/>
      <c r="C25" s="47"/>
      <c r="D25" s="48"/>
      <c r="E25" s="47"/>
      <c r="F25" s="48"/>
      <c r="G25" s="1"/>
    </row>
    <row r="26" spans="1:7" x14ac:dyDescent="0.25">
      <c r="A26" s="1"/>
      <c r="B26" s="41"/>
      <c r="C26" s="41"/>
      <c r="D26" s="41"/>
      <c r="E26" s="41"/>
      <c r="F26" s="41"/>
      <c r="G26" s="1"/>
    </row>
    <row r="27" spans="1:7" x14ac:dyDescent="0.25">
      <c r="A27" s="1"/>
      <c r="B27" s="168"/>
      <c r="C27" s="168"/>
      <c r="D27" s="168"/>
      <c r="E27" s="168"/>
      <c r="F27" s="168"/>
      <c r="G27" s="1"/>
    </row>
    <row r="28" spans="1:7" x14ac:dyDescent="0.25">
      <c r="A28" s="1"/>
      <c r="B28" s="43"/>
      <c r="C28" s="43"/>
      <c r="D28" s="43"/>
      <c r="E28" s="43"/>
      <c r="F28" s="43"/>
      <c r="G28" s="1"/>
    </row>
    <row r="29" spans="1:7" x14ac:dyDescent="0.25">
      <c r="A29" s="1"/>
      <c r="B29" s="44"/>
      <c r="C29" s="49"/>
      <c r="D29" s="46"/>
      <c r="E29" s="49"/>
      <c r="F29" s="46"/>
      <c r="G29" s="1"/>
    </row>
    <row r="30" spans="1:7" x14ac:dyDescent="0.25">
      <c r="A30" s="1"/>
      <c r="B30" s="29"/>
      <c r="C30" s="47"/>
      <c r="D30" s="48"/>
      <c r="E30" s="47"/>
      <c r="F30" s="48"/>
      <c r="G30" s="1"/>
    </row>
    <row r="31" spans="1:7" x14ac:dyDescent="0.25">
      <c r="A31" s="1"/>
      <c r="B31" s="29"/>
      <c r="C31" s="47"/>
      <c r="D31" s="48"/>
      <c r="E31" s="47"/>
      <c r="F31" s="48"/>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3SYjhLkYBdCCyD0NR/Nd2H7iFbJpIyRc9CvP1XsOsmuz9xL9c4AefON6Kov6NtgnGHUTTbkbgs+5yw4J0p1CjA==" saltValue="isbUma0r74r1PTVWmrAM9w==" spinCount="100000" sheet="1" objects="1" scenarios="1"/>
  <mergeCells count="5">
    <mergeCell ref="B27:F27"/>
    <mergeCell ref="B3:F4"/>
    <mergeCell ref="B9:F9"/>
    <mergeCell ref="B15:F15"/>
    <mergeCell ref="B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89" zoomScaleNormal="100" zoomScalePageLayoutView="89" workbookViewId="0"/>
  </sheetViews>
  <sheetFormatPr defaultColWidth="9" defaultRowHeight="15"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5" t="s">
        <v>244</v>
      </c>
      <c r="C3" s="115"/>
      <c r="D3" s="115"/>
      <c r="E3" s="1"/>
    </row>
    <row r="4" spans="1:5" ht="15" customHeight="1" x14ac:dyDescent="0.25">
      <c r="A4" s="1"/>
      <c r="B4" s="115"/>
      <c r="C4" s="115"/>
      <c r="D4" s="11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0" t="s">
        <v>13</v>
      </c>
      <c r="C8" s="31"/>
      <c r="D8" s="19"/>
      <c r="E8" s="1"/>
    </row>
    <row r="9" spans="1:5" x14ac:dyDescent="0.25">
      <c r="A9" s="1"/>
      <c r="B9" s="68" t="s">
        <v>106</v>
      </c>
      <c r="C9" s="7">
        <f>'Fane 3. Omkostninger i ØR2023'!C22</f>
        <v>99480351.383478224</v>
      </c>
      <c r="D9" s="8" t="s">
        <v>3</v>
      </c>
      <c r="E9" s="1"/>
    </row>
    <row r="10" spans="1:5" ht="17.25" customHeight="1" x14ac:dyDescent="0.25">
      <c r="A10" s="1"/>
      <c r="B10" s="94" t="s">
        <v>37</v>
      </c>
      <c r="C10" s="36">
        <f>'Fane 11.1. Varige tillæg'!C18</f>
        <v>1649162.4576000001</v>
      </c>
      <c r="D10" s="8" t="s">
        <v>3</v>
      </c>
      <c r="E10" s="1"/>
    </row>
    <row r="11" spans="1:5" ht="17.25" customHeight="1" x14ac:dyDescent="0.25">
      <c r="A11" s="1"/>
      <c r="B11" s="94" t="s">
        <v>38</v>
      </c>
      <c r="C11" s="36">
        <f>'Fane 11.1. Varige tillæg'!E18</f>
        <v>4321081.6320000002</v>
      </c>
      <c r="D11" s="8" t="s">
        <v>3</v>
      </c>
      <c r="E11" s="1"/>
    </row>
    <row r="12" spans="1:5" ht="17.25" customHeight="1" x14ac:dyDescent="0.25">
      <c r="A12" s="1"/>
      <c r="B12" s="94" t="s">
        <v>27</v>
      </c>
      <c r="C12" s="9">
        <f>-'Fane 14. Bortfald'!C13</f>
        <v>0</v>
      </c>
      <c r="D12" s="8" t="s">
        <v>3</v>
      </c>
      <c r="E12" s="1"/>
    </row>
    <row r="13" spans="1:5" ht="17.25" customHeight="1" x14ac:dyDescent="0.25">
      <c r="A13" s="1"/>
      <c r="B13" s="94" t="s">
        <v>26</v>
      </c>
      <c r="C13" s="9">
        <f>-'Fane 14. Bortfald'!E13</f>
        <v>0</v>
      </c>
      <c r="D13" s="8" t="s">
        <v>3</v>
      </c>
      <c r="E13" s="1"/>
    </row>
    <row r="14" spans="1:5" ht="17.25" customHeight="1" x14ac:dyDescent="0.25">
      <c r="A14" s="1"/>
      <c r="B14" s="94" t="s">
        <v>104</v>
      </c>
      <c r="C14" s="9">
        <f>'Fane 13. Tilknyttet virksomhed'!C13</f>
        <v>0</v>
      </c>
      <c r="D14" s="8" t="s">
        <v>3</v>
      </c>
      <c r="E14" s="1"/>
    </row>
    <row r="15" spans="1:5" ht="17.25" customHeight="1" x14ac:dyDescent="0.25">
      <c r="A15" s="1"/>
      <c r="B15" s="94" t="s">
        <v>105</v>
      </c>
      <c r="C15" s="9">
        <f>'Fane 13. Tilknyttet virksomhed'!E13</f>
        <v>0</v>
      </c>
      <c r="D15" s="8" t="s">
        <v>3</v>
      </c>
      <c r="E15" s="1"/>
    </row>
    <row r="16" spans="1:5" ht="17.25" customHeight="1" x14ac:dyDescent="0.25">
      <c r="A16" s="1"/>
      <c r="B16" s="94" t="s">
        <v>19</v>
      </c>
      <c r="C16" s="9">
        <f>SUM(C9:C15)*'Fane 15. Nøgletal'!C16</f>
        <v>8520408.1142247207</v>
      </c>
      <c r="D16" s="8" t="s">
        <v>3</v>
      </c>
      <c r="E16" s="1"/>
    </row>
    <row r="17" spans="1:5" ht="17.25" customHeight="1" x14ac:dyDescent="0.25">
      <c r="A17" s="1"/>
      <c r="B17" s="94" t="s">
        <v>10</v>
      </c>
      <c r="C17" s="9">
        <f>-SUM(C9,C10:C16)*'Fane 5. Individuelt eff. krav'!G9</f>
        <v>-1910708.4680681343</v>
      </c>
      <c r="D17" s="8" t="s">
        <v>3</v>
      </c>
      <c r="E17" s="1"/>
    </row>
    <row r="18" spans="1:5" ht="17.25" customHeight="1" x14ac:dyDescent="0.25">
      <c r="A18" s="1"/>
      <c r="B18" s="94" t="s">
        <v>24</v>
      </c>
      <c r="C18" s="9">
        <f>-'Fane 4.1. Gen. krav - drift'!G55</f>
        <v>-656854.50543529133</v>
      </c>
      <c r="D18" s="8" t="s">
        <v>3</v>
      </c>
      <c r="E18" s="38"/>
    </row>
    <row r="19" spans="1:5" ht="15" customHeight="1" x14ac:dyDescent="0.25">
      <c r="A19" s="1"/>
      <c r="B19" s="94" t="s">
        <v>25</v>
      </c>
      <c r="C19" s="9">
        <f>-'Fane 4.2. Gen. krav - anlæg'!G53</f>
        <v>0</v>
      </c>
      <c r="D19" s="8" t="s">
        <v>3</v>
      </c>
      <c r="E19" s="1"/>
    </row>
    <row r="20" spans="1:5" ht="15" customHeight="1" x14ac:dyDescent="0.25">
      <c r="A20" s="1"/>
      <c r="B20" s="87" t="s">
        <v>21</v>
      </c>
      <c r="C20" s="10">
        <f>SUM(C9:C19)</f>
        <v>111403440.61379951</v>
      </c>
      <c r="D20" s="11" t="s">
        <v>3</v>
      </c>
      <c r="E20" s="1"/>
    </row>
    <row r="21" spans="1:5" ht="15" customHeight="1" x14ac:dyDescent="0.25">
      <c r="A21" s="1"/>
      <c r="B21" s="30" t="s">
        <v>12</v>
      </c>
      <c r="C21" s="31"/>
      <c r="D21" s="19"/>
      <c r="E21" s="1"/>
    </row>
    <row r="22" spans="1:5" ht="15" customHeight="1" x14ac:dyDescent="0.25">
      <c r="A22" s="1"/>
      <c r="B22" s="95" t="s">
        <v>12</v>
      </c>
      <c r="C22" s="10">
        <f>'Fane 6. Ikke-påvirkelige omk.'!C16+'Fane 6. Ikke-påvirkelige omk.'!C20+'Fane 6. Ikke-påvirkelige omk.'!C28</f>
        <v>4632221.2468665596</v>
      </c>
      <c r="D22" s="11" t="s">
        <v>3</v>
      </c>
      <c r="E22" s="1"/>
    </row>
    <row r="23" spans="1:5" ht="15" customHeight="1" x14ac:dyDescent="0.25">
      <c r="A23" s="1"/>
      <c r="B23" s="30" t="s">
        <v>70</v>
      </c>
      <c r="C23" s="31"/>
      <c r="D23" s="19"/>
      <c r="E23" s="1"/>
    </row>
    <row r="24" spans="1:5" ht="15" customHeight="1" x14ac:dyDescent="0.25">
      <c r="A24" s="1"/>
      <c r="B24" s="87" t="s">
        <v>70</v>
      </c>
      <c r="C24" s="10">
        <f>'Fane 12. Periodevise driftsomk.'!E13</f>
        <v>0</v>
      </c>
      <c r="D24" s="11" t="s">
        <v>3</v>
      </c>
      <c r="E24" s="1"/>
    </row>
    <row r="25" spans="1:5" ht="15" customHeight="1" x14ac:dyDescent="0.25">
      <c r="A25" s="1"/>
      <c r="B25" s="30" t="s">
        <v>69</v>
      </c>
      <c r="C25" s="31"/>
      <c r="D25" s="19"/>
      <c r="E25" s="1"/>
    </row>
    <row r="26" spans="1:5" x14ac:dyDescent="0.25">
      <c r="A26" s="1"/>
      <c r="B26" s="94" t="s">
        <v>65</v>
      </c>
      <c r="C26" s="9">
        <f>'Fane 11.2. Engangstillæg'!C19</f>
        <v>5017121.8538291194</v>
      </c>
      <c r="D26" s="8" t="s">
        <v>3</v>
      </c>
      <c r="E26" s="1"/>
    </row>
    <row r="27" spans="1:5" ht="15" customHeight="1" x14ac:dyDescent="0.25">
      <c r="A27" s="1"/>
      <c r="B27" s="94" t="s">
        <v>66</v>
      </c>
      <c r="C27" s="9">
        <f>'Fane 11.2. Engangstillæg'!E19</f>
        <v>0</v>
      </c>
      <c r="D27" s="8" t="s">
        <v>3</v>
      </c>
      <c r="E27" s="1"/>
    </row>
    <row r="28" spans="1:5" ht="15" customHeight="1" x14ac:dyDescent="0.25">
      <c r="A28" s="1"/>
      <c r="B28" s="94" t="s">
        <v>185</v>
      </c>
      <c r="C28" s="9">
        <f>-C26*('Fane 15. Nøgletal'!C33+'Fane 5. Individuelt eff. krav'!G9)</f>
        <v>-184453.8067206851</v>
      </c>
      <c r="D28" s="8" t="s">
        <v>3</v>
      </c>
      <c r="E28" s="1"/>
    </row>
    <row r="29" spans="1:5" ht="15" customHeight="1" x14ac:dyDescent="0.25">
      <c r="A29" s="1"/>
      <c r="B29" s="37" t="s">
        <v>186</v>
      </c>
      <c r="C29" s="9">
        <f>-C27*('Fane 15. Nøgletal'!C28+'Fane 5. Individuelt eff. krav'!G9)</f>
        <v>0</v>
      </c>
      <c r="D29" s="8" t="s">
        <v>3</v>
      </c>
      <c r="E29" s="1"/>
    </row>
    <row r="30" spans="1:5" x14ac:dyDescent="0.25">
      <c r="A30" s="1"/>
      <c r="B30" s="87" t="s">
        <v>71</v>
      </c>
      <c r="C30" s="10">
        <f>SUM(C26:C29)</f>
        <v>4832668.0471084341</v>
      </c>
      <c r="D30" s="11" t="s">
        <v>3</v>
      </c>
      <c r="E30" s="1"/>
    </row>
    <row r="31" spans="1:5" x14ac:dyDescent="0.25">
      <c r="A31" s="1"/>
      <c r="B31" s="30" t="s">
        <v>222</v>
      </c>
      <c r="C31" s="31"/>
      <c r="D31" s="19"/>
      <c r="E31" s="1"/>
    </row>
    <row r="32" spans="1:5" x14ac:dyDescent="0.25">
      <c r="A32" s="1"/>
      <c r="B32" s="95" t="s">
        <v>222</v>
      </c>
      <c r="C32" s="10">
        <f>'Fane 9. Korrektion af ØR2022'!E17</f>
        <v>-343117</v>
      </c>
      <c r="D32" s="11" t="s">
        <v>3</v>
      </c>
      <c r="E32" s="1"/>
    </row>
    <row r="33" spans="1:5" x14ac:dyDescent="0.25">
      <c r="A33" s="1"/>
      <c r="B33" s="30" t="s">
        <v>119</v>
      </c>
      <c r="C33" s="31"/>
      <c r="D33" s="19"/>
      <c r="E33" s="1"/>
    </row>
    <row r="34" spans="1:5" x14ac:dyDescent="0.25">
      <c r="A34" s="1"/>
      <c r="B34" s="95" t="s">
        <v>163</v>
      </c>
      <c r="C34" s="10">
        <f>'Fane 7. Kontrol af ØR2022'!E32</f>
        <v>0</v>
      </c>
      <c r="D34" s="11" t="s">
        <v>3</v>
      </c>
      <c r="E34" s="1"/>
    </row>
    <row r="35" spans="1:5" ht="26.25" customHeight="1" x14ac:dyDescent="0.25">
      <c r="A35" s="1"/>
      <c r="B35" s="116" t="s">
        <v>155</v>
      </c>
      <c r="C35" s="117"/>
      <c r="D35" s="118"/>
      <c r="E35" s="1"/>
    </row>
    <row r="36" spans="1:5" x14ac:dyDescent="0.25">
      <c r="A36" s="1"/>
      <c r="B36" s="69" t="s">
        <v>156</v>
      </c>
      <c r="C36" s="10">
        <f>'Fane 8. Skattesagen'!G13</f>
        <v>0</v>
      </c>
      <c r="D36" s="11" t="s">
        <v>3</v>
      </c>
      <c r="E36" s="1"/>
    </row>
    <row r="37" spans="1:5" x14ac:dyDescent="0.25">
      <c r="A37" s="1"/>
      <c r="B37" s="32" t="s">
        <v>310</v>
      </c>
      <c r="C37" s="31"/>
      <c r="D37" s="19"/>
      <c r="E37" s="1"/>
    </row>
    <row r="38" spans="1:5" x14ac:dyDescent="0.25">
      <c r="A38" s="1"/>
      <c r="B38" s="69" t="s">
        <v>311</v>
      </c>
      <c r="C38" s="10">
        <v>2085456.3940825956</v>
      </c>
      <c r="D38" s="11" t="s">
        <v>3</v>
      </c>
      <c r="E38" s="1"/>
    </row>
    <row r="39" spans="1:5" x14ac:dyDescent="0.25">
      <c r="A39" s="1"/>
      <c r="B39" s="30" t="s">
        <v>107</v>
      </c>
      <c r="C39" s="12">
        <f>SUM(C20,C22,C24,C30,C32,C34,C36,C38)</f>
        <v>122610669.3018571</v>
      </c>
      <c r="D39" s="13" t="s">
        <v>3</v>
      </c>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39"/>
      <c r="B49" s="39"/>
      <c r="C49" s="39"/>
      <c r="D49" s="39"/>
      <c r="E49" s="39"/>
    </row>
  </sheetData>
  <sheetProtection algorithmName="SHA-512" hashValue="jeiDs62N2WKrL2fqqqKWPdUQfjMrDbpcSsvdhwBOvnKlLLPOncc18gRwK0AFvO2FuakkEKnwxvgSGFC4oX56EA==" saltValue="KXpbTWk27ziWmQ833d2DFg==" spinCount="100000" sheet="1" objects="1" scenarios="1"/>
  <mergeCells count="2">
    <mergeCell ref="B3:D4"/>
    <mergeCell ref="B35:D3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89" zoomScaleNormal="100" zoomScalePageLayoutView="89" workbookViewId="0"/>
  </sheetViews>
  <sheetFormatPr defaultColWidth="9" defaultRowHeight="15" x14ac:dyDescent="0.25"/>
  <cols>
    <col min="1" max="1" width="8.5703125" style="2" customWidth="1"/>
    <col min="2" max="2" width="56.140625" style="2" customWidth="1"/>
    <col min="3" max="3" width="8.42578125" style="2" customWidth="1"/>
    <col min="4" max="4" width="12.28515625" style="2" customWidth="1"/>
    <col min="5" max="16384" width="9" style="2"/>
  </cols>
  <sheetData>
    <row r="1" spans="1:4" x14ac:dyDescent="0.25">
      <c r="A1" s="1"/>
      <c r="B1" s="1"/>
      <c r="C1" s="1"/>
      <c r="D1" s="1"/>
    </row>
    <row r="2" spans="1:4" x14ac:dyDescent="0.25">
      <c r="A2" s="1"/>
      <c r="B2" s="1"/>
      <c r="C2" s="1"/>
      <c r="D2" s="1"/>
    </row>
    <row r="3" spans="1:4" ht="15" customHeight="1" x14ac:dyDescent="0.25">
      <c r="A3" s="1"/>
      <c r="B3" s="121" t="s">
        <v>211</v>
      </c>
      <c r="C3" s="121"/>
      <c r="D3" s="1"/>
    </row>
    <row r="4" spans="1:4" ht="25.5" customHeight="1" x14ac:dyDescent="0.25">
      <c r="A4" s="1"/>
      <c r="B4" s="121"/>
      <c r="C4" s="121"/>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30" t="s">
        <v>14</v>
      </c>
      <c r="C8" s="19"/>
      <c r="D8" s="1"/>
    </row>
    <row r="9" spans="1:4" x14ac:dyDescent="0.25">
      <c r="A9" s="1"/>
      <c r="B9" s="51" t="s">
        <v>157</v>
      </c>
      <c r="C9" s="24">
        <v>1.2699999999999999E-2</v>
      </c>
      <c r="D9" s="1"/>
    </row>
    <row r="10" spans="1:4" x14ac:dyDescent="0.25">
      <c r="A10" s="1"/>
      <c r="B10" s="51" t="s">
        <v>91</v>
      </c>
      <c r="C10" s="24">
        <v>1.7500000000000002E-2</v>
      </c>
      <c r="D10" s="1"/>
    </row>
    <row r="11" spans="1:4" x14ac:dyDescent="0.25">
      <c r="A11" s="1"/>
      <c r="B11" s="51" t="s">
        <v>23</v>
      </c>
      <c r="C11" s="24">
        <v>1.6899999999999998E-2</v>
      </c>
      <c r="D11" s="1"/>
    </row>
    <row r="12" spans="1:4" x14ac:dyDescent="0.25">
      <c r="A12" s="1"/>
      <c r="B12" s="26" t="s">
        <v>39</v>
      </c>
      <c r="C12" s="24">
        <v>1.9699999999999999E-2</v>
      </c>
      <c r="D12" s="1"/>
    </row>
    <row r="13" spans="1:4" x14ac:dyDescent="0.25">
      <c r="A13" s="1"/>
      <c r="B13" s="26" t="s">
        <v>112</v>
      </c>
      <c r="C13" s="27">
        <v>1.2200000000000001E-2</v>
      </c>
      <c r="D13" s="1"/>
    </row>
    <row r="14" spans="1:4" x14ac:dyDescent="0.25">
      <c r="A14" s="1"/>
      <c r="B14" s="26" t="s">
        <v>162</v>
      </c>
      <c r="C14" s="27">
        <v>3.3E-3</v>
      </c>
      <c r="D14" s="1"/>
    </row>
    <row r="15" spans="1:4" x14ac:dyDescent="0.25">
      <c r="A15" s="1"/>
      <c r="B15" s="26" t="s">
        <v>177</v>
      </c>
      <c r="C15" s="27">
        <v>3.56E-2</v>
      </c>
      <c r="D15" s="1"/>
    </row>
    <row r="16" spans="1:4" x14ac:dyDescent="0.25">
      <c r="A16" s="1"/>
      <c r="B16" s="26" t="s">
        <v>225</v>
      </c>
      <c r="C16" s="27">
        <v>8.0799999999999997E-2</v>
      </c>
      <c r="D16" s="1"/>
    </row>
    <row r="17" spans="1:4" x14ac:dyDescent="0.25">
      <c r="A17" s="1"/>
      <c r="B17" s="30"/>
      <c r="C17" s="19"/>
      <c r="D17" s="1"/>
    </row>
    <row r="18" spans="1:4" x14ac:dyDescent="0.25">
      <c r="A18" s="1"/>
      <c r="B18" s="1"/>
      <c r="C18" s="1"/>
      <c r="D18" s="1"/>
    </row>
    <row r="19" spans="1:4" x14ac:dyDescent="0.25">
      <c r="A19" s="1"/>
      <c r="B19" s="1"/>
      <c r="C19" s="1"/>
      <c r="D19" s="1"/>
    </row>
    <row r="20" spans="1:4" x14ac:dyDescent="0.25">
      <c r="A20" s="1"/>
      <c r="B20" s="30" t="s">
        <v>83</v>
      </c>
      <c r="C20" s="19"/>
      <c r="D20" s="1"/>
    </row>
    <row r="21" spans="1:4" x14ac:dyDescent="0.25">
      <c r="A21" s="1"/>
      <c r="B21" s="51" t="s">
        <v>158</v>
      </c>
      <c r="C21" s="22">
        <v>9.1000000000000004E-3</v>
      </c>
      <c r="D21" s="1"/>
    </row>
    <row r="22" spans="1:4" x14ac:dyDescent="0.25">
      <c r="A22" s="1"/>
      <c r="B22" s="51" t="s">
        <v>93</v>
      </c>
      <c r="C22" s="22">
        <v>1.77E-2</v>
      </c>
      <c r="D22" s="1"/>
    </row>
    <row r="23" spans="1:4" x14ac:dyDescent="0.25">
      <c r="A23" s="1"/>
      <c r="B23" s="51" t="s">
        <v>92</v>
      </c>
      <c r="C23" s="22">
        <v>8.6999999999999994E-3</v>
      </c>
      <c r="D23" s="1"/>
    </row>
    <row r="24" spans="1:4" x14ac:dyDescent="0.25">
      <c r="A24" s="1"/>
      <c r="B24" s="51" t="s">
        <v>94</v>
      </c>
      <c r="C24" s="22">
        <v>2.8400000000000002E-2</v>
      </c>
      <c r="D24" s="1"/>
    </row>
    <row r="25" spans="1:4" x14ac:dyDescent="0.25">
      <c r="A25" s="1"/>
      <c r="B25" s="51" t="s">
        <v>113</v>
      </c>
      <c r="C25" s="28">
        <v>2.75E-2</v>
      </c>
      <c r="D25" s="1"/>
    </row>
    <row r="26" spans="1:4" x14ac:dyDescent="0.25">
      <c r="A26" s="1"/>
      <c r="B26" s="51" t="s">
        <v>129</v>
      </c>
      <c r="C26" s="28">
        <v>1.4800000000000001E-2</v>
      </c>
      <c r="D26" s="1"/>
    </row>
    <row r="27" spans="1:4" x14ac:dyDescent="0.25">
      <c r="A27" s="1"/>
      <c r="B27" s="51" t="s">
        <v>178</v>
      </c>
      <c r="C27" s="28">
        <v>0</v>
      </c>
      <c r="D27" s="1"/>
    </row>
    <row r="28" spans="1:4" x14ac:dyDescent="0.25">
      <c r="A28" s="1"/>
      <c r="B28" s="26" t="s">
        <v>226</v>
      </c>
      <c r="C28" s="66">
        <v>0</v>
      </c>
      <c r="D28" s="1"/>
    </row>
    <row r="29" spans="1:4" x14ac:dyDescent="0.25">
      <c r="A29" s="1"/>
      <c r="B29" s="30"/>
      <c r="C29" s="19"/>
      <c r="D29" s="1"/>
    </row>
    <row r="30" spans="1:4" x14ac:dyDescent="0.25">
      <c r="A30" s="1"/>
      <c r="B30" s="1"/>
      <c r="C30" s="1"/>
      <c r="D30" s="1"/>
    </row>
    <row r="31" spans="1:4" x14ac:dyDescent="0.25">
      <c r="A31" s="1"/>
      <c r="B31" s="1"/>
      <c r="C31" s="1"/>
      <c r="D31" s="1"/>
    </row>
    <row r="32" spans="1:4" x14ac:dyDescent="0.25">
      <c r="A32" s="1"/>
      <c r="B32" s="30" t="s">
        <v>82</v>
      </c>
      <c r="C32" s="19"/>
      <c r="D32" s="1"/>
    </row>
    <row r="33" spans="1:4" x14ac:dyDescent="0.25">
      <c r="A33" s="1"/>
      <c r="B33" s="51" t="s">
        <v>95</v>
      </c>
      <c r="C33" s="56">
        <v>0.02</v>
      </c>
      <c r="D33" s="1"/>
    </row>
    <row r="34" spans="1:4" x14ac:dyDescent="0.25">
      <c r="A34" s="1"/>
      <c r="B34" s="30"/>
      <c r="C34" s="19"/>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9"/>
      <c r="B50" s="39"/>
      <c r="C50" s="39"/>
      <c r="D50" s="39"/>
    </row>
    <row r="51" spans="1:4" x14ac:dyDescent="0.25">
      <c r="A51" s="39"/>
      <c r="B51" s="39"/>
      <c r="C51" s="39"/>
      <c r="D51" s="39"/>
    </row>
    <row r="52" spans="1:4" x14ac:dyDescent="0.25">
      <c r="A52" s="39"/>
      <c r="B52" s="39"/>
      <c r="C52" s="39"/>
      <c r="D52" s="39"/>
    </row>
    <row r="53" spans="1:4" x14ac:dyDescent="0.25">
      <c r="A53" s="39"/>
      <c r="B53" s="39"/>
      <c r="C53" s="39"/>
      <c r="D53" s="39"/>
    </row>
  </sheetData>
  <sheetProtection algorithmName="SHA-512" hashValue="YuSo814j9jC4qrU2T18AM4arKQ8cGA1efwL6zUE9hgbsmYOU9R6lRwzNxPUVC8CXEvxG4mBoeg9WVPhKGdkTSw==" saltValue="0djI0/eHyen8c7yeEw6JV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 defaultRowHeight="15" x14ac:dyDescent="0.25"/>
  <cols>
    <col min="1" max="1" width="5" style="2" customWidth="1"/>
    <col min="2" max="2" width="51.5703125" style="2" customWidth="1"/>
    <col min="3" max="3" width="15.7109375" style="2" customWidth="1"/>
    <col min="4" max="4" width="3.28515625" style="2" customWidth="1"/>
    <col min="5" max="5" width="7.2851562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5" t="s">
        <v>224</v>
      </c>
      <c r="C3" s="115"/>
      <c r="D3" s="115"/>
      <c r="E3" s="1"/>
    </row>
    <row r="4" spans="1:5" ht="15" customHeight="1" x14ac:dyDescent="0.25">
      <c r="A4" s="1"/>
      <c r="B4" s="115"/>
      <c r="C4" s="115"/>
      <c r="D4" s="115"/>
      <c r="E4" s="1"/>
    </row>
    <row r="5" spans="1:5" x14ac:dyDescent="0.25">
      <c r="A5" s="1"/>
      <c r="B5" s="119"/>
      <c r="C5" s="119"/>
      <c r="D5" s="119"/>
      <c r="E5" s="1"/>
    </row>
    <row r="6" spans="1:5" x14ac:dyDescent="0.25">
      <c r="A6" s="1"/>
      <c r="B6" s="1"/>
      <c r="C6" s="1"/>
      <c r="D6" s="1"/>
      <c r="E6" s="1"/>
    </row>
    <row r="7" spans="1:5" x14ac:dyDescent="0.25">
      <c r="A7" s="1"/>
      <c r="B7" s="1"/>
      <c r="C7" s="1"/>
      <c r="D7" s="1"/>
      <c r="E7" s="1"/>
    </row>
    <row r="8" spans="1:5" x14ac:dyDescent="0.25">
      <c r="A8" s="1"/>
      <c r="B8" s="30" t="s">
        <v>13</v>
      </c>
      <c r="C8" s="31"/>
      <c r="D8" s="19"/>
      <c r="E8" s="1"/>
    </row>
    <row r="9" spans="1:5" ht="15" customHeight="1" x14ac:dyDescent="0.25">
      <c r="A9" s="1"/>
      <c r="B9" s="68" t="s">
        <v>122</v>
      </c>
      <c r="C9" s="7">
        <f>'Fane 2.1. Økonomisk ramme 2024'!C20</f>
        <v>111403440.61379951</v>
      </c>
      <c r="D9" s="8" t="s">
        <v>3</v>
      </c>
      <c r="E9" s="1"/>
    </row>
    <row r="10" spans="1:5" ht="15" customHeight="1" x14ac:dyDescent="0.25">
      <c r="A10" s="1"/>
      <c r="B10" s="67" t="s">
        <v>19</v>
      </c>
      <c r="C10" s="7">
        <f>SUM(C9:C9)*'Fane 15. Nøgletal'!C16</f>
        <v>9001398.0015949998</v>
      </c>
      <c r="D10" s="8" t="s">
        <v>3</v>
      </c>
      <c r="E10" s="1"/>
    </row>
    <row r="11" spans="1:5" ht="15" customHeight="1" x14ac:dyDescent="0.25">
      <c r="A11" s="1"/>
      <c r="B11" s="67" t="s">
        <v>10</v>
      </c>
      <c r="C11" s="9">
        <f>-SUM(C9:C10)*'Fane 5. Individuelt eff. krav'!G9</f>
        <v>-2018570.842561584</v>
      </c>
      <c r="D11" s="8" t="s">
        <v>3</v>
      </c>
      <c r="E11" s="1"/>
    </row>
    <row r="12" spans="1:5" ht="15" customHeight="1" x14ac:dyDescent="0.25">
      <c r="A12" s="1"/>
      <c r="B12" s="67" t="s">
        <v>24</v>
      </c>
      <c r="C12" s="9">
        <f>-'Fane 4.1. Gen. krav - drift'!G60</f>
        <v>-695729.78248497355</v>
      </c>
      <c r="D12" s="8" t="s">
        <v>3</v>
      </c>
      <c r="E12" s="1"/>
    </row>
    <row r="13" spans="1:5" ht="15" customHeight="1" x14ac:dyDescent="0.25">
      <c r="A13" s="1"/>
      <c r="B13" s="67" t="s">
        <v>25</v>
      </c>
      <c r="C13" s="9">
        <f>-'Fane 4.2. Gen. krav - anlæg'!G58</f>
        <v>0</v>
      </c>
      <c r="D13" s="8" t="s">
        <v>3</v>
      </c>
      <c r="E13" s="1"/>
    </row>
    <row r="14" spans="1:5" ht="15" customHeight="1" x14ac:dyDescent="0.25">
      <c r="A14" s="1"/>
      <c r="B14" s="33" t="s">
        <v>21</v>
      </c>
      <c r="C14" s="10">
        <f>SUM(C9:C13)</f>
        <v>117690537.99034795</v>
      </c>
      <c r="D14" s="11" t="s">
        <v>3</v>
      </c>
      <c r="E14" s="1"/>
    </row>
    <row r="15" spans="1:5" ht="15" customHeight="1" x14ac:dyDescent="0.25">
      <c r="A15" s="1"/>
      <c r="B15" s="30" t="s">
        <v>12</v>
      </c>
      <c r="C15" s="31"/>
      <c r="D15" s="19"/>
      <c r="E15" s="1"/>
    </row>
    <row r="16" spans="1:5" ht="15" customHeight="1" x14ac:dyDescent="0.25">
      <c r="A16" s="1"/>
      <c r="B16" s="95" t="s">
        <v>12</v>
      </c>
      <c r="C16" s="10">
        <f>'Fane 6. Ikke-påvirkelige omk.'!C16*(1+'Fane 15. Nøgletal'!C16)+'Fane 6. Ikke-påvirkelige omk.'!C21+'Fane 6. Ikke-påvirkelige omk.'!C29</f>
        <v>4836321.6628133785</v>
      </c>
      <c r="D16" s="11" t="s">
        <v>3</v>
      </c>
      <c r="E16" s="1"/>
    </row>
    <row r="17" spans="1:5" ht="15" customHeight="1" x14ac:dyDescent="0.25">
      <c r="A17" s="1"/>
      <c r="B17" s="30" t="s">
        <v>70</v>
      </c>
      <c r="C17" s="31"/>
      <c r="D17" s="19"/>
      <c r="E17" s="1"/>
    </row>
    <row r="18" spans="1:5" ht="15" customHeight="1" x14ac:dyDescent="0.25">
      <c r="A18" s="1"/>
      <c r="B18" s="87" t="s">
        <v>70</v>
      </c>
      <c r="C18" s="10">
        <f>'Fane 12. Periodevise driftsomk.'!E19</f>
        <v>0</v>
      </c>
      <c r="D18" s="11" t="s">
        <v>3</v>
      </c>
      <c r="E18" s="1"/>
    </row>
    <row r="19" spans="1:5" ht="15" customHeight="1" x14ac:dyDescent="0.25">
      <c r="A19" s="1"/>
      <c r="B19" s="30" t="s">
        <v>120</v>
      </c>
      <c r="C19" s="31"/>
      <c r="D19" s="19"/>
      <c r="E19" s="1"/>
    </row>
    <row r="20" spans="1:5" ht="15" customHeight="1" x14ac:dyDescent="0.25">
      <c r="A20" s="1"/>
      <c r="B20" s="95" t="s">
        <v>163</v>
      </c>
      <c r="C20" s="10">
        <f>'Fane 7. Kontrol af ØR2022'!E32</f>
        <v>0</v>
      </c>
      <c r="D20" s="11" t="s">
        <v>3</v>
      </c>
      <c r="E20" s="1"/>
    </row>
    <row r="21" spans="1:5" x14ac:dyDescent="0.25">
      <c r="A21" s="1"/>
      <c r="B21" s="32" t="s">
        <v>155</v>
      </c>
      <c r="C21" s="31"/>
      <c r="D21" s="19"/>
      <c r="E21" s="1"/>
    </row>
    <row r="22" spans="1:5" x14ac:dyDescent="0.25">
      <c r="A22" s="1"/>
      <c r="B22" s="69" t="s">
        <v>156</v>
      </c>
      <c r="C22" s="10">
        <f>'Fane 8. Skattesagen'!G14</f>
        <v>0</v>
      </c>
      <c r="D22" s="11" t="s">
        <v>3</v>
      </c>
      <c r="E22" s="1"/>
    </row>
    <row r="23" spans="1:5" ht="15" customHeight="1" x14ac:dyDescent="0.25">
      <c r="A23" s="1"/>
      <c r="B23" s="30" t="s">
        <v>123</v>
      </c>
      <c r="C23" s="12">
        <f>SUM(C14,C16,C18,C20,C22)</f>
        <v>122526859.65316133</v>
      </c>
      <c r="D23" s="13" t="s">
        <v>3</v>
      </c>
      <c r="E23" s="1"/>
    </row>
    <row r="24" spans="1:5" ht="15" customHeight="1"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TdsbClv/FQG4p/m5JKcbnaKZF6J/0XO+32ovtWhlP5gWM67jNfEDBg0RlBek/VmjJUjBcblCB6uCfZSnE4HS+Q==" saltValue="IaTqD2ZOQSIWsTuB0FliE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91" zoomScaleNormal="100" zoomScalePageLayoutView="91" workbookViewId="0"/>
  </sheetViews>
  <sheetFormatPr defaultColWidth="9" defaultRowHeight="15" x14ac:dyDescent="0.25"/>
  <cols>
    <col min="1" max="1" width="5" style="2" customWidth="1"/>
    <col min="2" max="2" width="53.5703125" style="2" customWidth="1"/>
    <col min="3" max="3" width="11.5703125" style="2" customWidth="1"/>
    <col min="4" max="4" width="3.28515625" style="2" customWidth="1"/>
    <col min="5" max="5" width="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5" t="s">
        <v>249</v>
      </c>
      <c r="C3" s="115"/>
      <c r="D3" s="115"/>
      <c r="E3" s="1"/>
    </row>
    <row r="4" spans="1:5" ht="15" customHeight="1" x14ac:dyDescent="0.25">
      <c r="A4" s="1"/>
      <c r="B4" s="115"/>
      <c r="C4" s="115"/>
      <c r="D4" s="115"/>
      <c r="E4" s="1"/>
    </row>
    <row r="5" spans="1:5" x14ac:dyDescent="0.25">
      <c r="A5" s="1"/>
      <c r="B5" s="119" t="s">
        <v>22</v>
      </c>
      <c r="C5" s="119"/>
      <c r="D5" s="119"/>
      <c r="E5" s="1"/>
    </row>
    <row r="6" spans="1:5" x14ac:dyDescent="0.25">
      <c r="A6" s="1"/>
      <c r="B6" s="1"/>
      <c r="C6" s="1"/>
      <c r="D6" s="1"/>
      <c r="E6" s="1"/>
    </row>
    <row r="7" spans="1:5" x14ac:dyDescent="0.25">
      <c r="A7" s="1"/>
      <c r="B7" s="30" t="s">
        <v>13</v>
      </c>
      <c r="C7" s="31"/>
      <c r="D7" s="19"/>
      <c r="E7" s="1"/>
    </row>
    <row r="8" spans="1:5" ht="15" customHeight="1" x14ac:dyDescent="0.25">
      <c r="A8" s="1"/>
      <c r="B8" s="68" t="s">
        <v>164</v>
      </c>
      <c r="C8" s="7">
        <f>'Fane 2.2. Økonomisk ramme 2025'!C14</f>
        <v>117690537.99034795</v>
      </c>
      <c r="D8" s="8" t="s">
        <v>3</v>
      </c>
      <c r="E8" s="1"/>
    </row>
    <row r="9" spans="1:5" ht="15" customHeight="1" x14ac:dyDescent="0.25">
      <c r="A9" s="1"/>
      <c r="B9" s="67" t="s">
        <v>19</v>
      </c>
      <c r="C9" s="40">
        <f>SUM(C8:C8)*'Fane 15. Nøgletal'!C16</f>
        <v>9509395.4696201142</v>
      </c>
      <c r="D9" s="8" t="s">
        <v>3</v>
      </c>
      <c r="E9" s="1"/>
    </row>
    <row r="10" spans="1:5" ht="15" customHeight="1" x14ac:dyDescent="0.25">
      <c r="A10" s="1"/>
      <c r="B10" s="67" t="s">
        <v>10</v>
      </c>
      <c r="C10" s="9">
        <f>-SUM(C8:C9)*'Fane 5. Individuelt eff. krav'!G9</f>
        <v>-2132489.6890417533</v>
      </c>
      <c r="D10" s="8" t="s">
        <v>3</v>
      </c>
      <c r="E10" s="1"/>
    </row>
    <row r="11" spans="1:5" ht="15" customHeight="1" x14ac:dyDescent="0.25">
      <c r="A11" s="1"/>
      <c r="B11" s="67" t="s">
        <v>24</v>
      </c>
      <c r="C11" s="9">
        <f>-'Fane 4.1. Gen. krav - drift'!G65</f>
        <v>-736905.85393156426</v>
      </c>
      <c r="D11" s="8" t="s">
        <v>3</v>
      </c>
      <c r="E11" s="1"/>
    </row>
    <row r="12" spans="1:5" ht="15" customHeight="1" x14ac:dyDescent="0.25">
      <c r="A12" s="1"/>
      <c r="B12" s="67" t="s">
        <v>25</v>
      </c>
      <c r="C12" s="9">
        <f>-'Fane 4.2. Gen. krav - anlæg'!G63</f>
        <v>0</v>
      </c>
      <c r="D12" s="8" t="s">
        <v>3</v>
      </c>
      <c r="E12" s="1"/>
    </row>
    <row r="13" spans="1:5" ht="15.75" customHeight="1" x14ac:dyDescent="0.25">
      <c r="A13" s="1"/>
      <c r="B13" s="33" t="s">
        <v>21</v>
      </c>
      <c r="C13" s="10">
        <f>SUM(C8:C12)</f>
        <v>124330537.91699475</v>
      </c>
      <c r="D13" s="11" t="s">
        <v>3</v>
      </c>
      <c r="E13" s="1"/>
    </row>
    <row r="14" spans="1:5" x14ac:dyDescent="0.25">
      <c r="A14" s="1"/>
      <c r="B14" s="30" t="s">
        <v>12</v>
      </c>
      <c r="C14" s="31"/>
      <c r="D14" s="19"/>
      <c r="E14" s="1"/>
    </row>
    <row r="15" spans="1:5" ht="15" customHeight="1" x14ac:dyDescent="0.25">
      <c r="A15" s="1"/>
      <c r="B15" s="95" t="s">
        <v>12</v>
      </c>
      <c r="C15" s="10">
        <f>'Fane 6. Ikke-påvirkelige omk.'!C16*(1+'Fane 15. Nøgletal'!C16)^2+'Fane 6. Ikke-påvirkelige omk.'!C22+'Fane 6. Ikke-påvirkelige omk.'!C30</f>
        <v>5056913.3923686985</v>
      </c>
      <c r="D15" s="11" t="s">
        <v>3</v>
      </c>
      <c r="E15" s="1"/>
    </row>
    <row r="16" spans="1:5" ht="15" customHeight="1" x14ac:dyDescent="0.25">
      <c r="A16" s="1"/>
      <c r="B16" s="30" t="s">
        <v>70</v>
      </c>
      <c r="C16" s="31"/>
      <c r="D16" s="19"/>
      <c r="E16" s="1"/>
    </row>
    <row r="17" spans="1:5" ht="15" customHeight="1" x14ac:dyDescent="0.25">
      <c r="A17" s="1"/>
      <c r="B17" s="87" t="s">
        <v>70</v>
      </c>
      <c r="C17" s="10">
        <f>'Fane 12. Periodevise driftsomk.'!E25</f>
        <v>0</v>
      </c>
      <c r="D17" s="11" t="s">
        <v>3</v>
      </c>
      <c r="E17" s="1"/>
    </row>
    <row r="18" spans="1:5" ht="15" customHeight="1" x14ac:dyDescent="0.25">
      <c r="A18" s="1"/>
      <c r="B18" s="30" t="s">
        <v>120</v>
      </c>
      <c r="C18" s="31"/>
      <c r="D18" s="19"/>
      <c r="E18" s="1"/>
    </row>
    <row r="19" spans="1:5" ht="15" customHeight="1" x14ac:dyDescent="0.25">
      <c r="A19" s="1"/>
      <c r="B19" s="95" t="s">
        <v>163</v>
      </c>
      <c r="C19" s="10">
        <v>0</v>
      </c>
      <c r="D19" s="11" t="s">
        <v>3</v>
      </c>
      <c r="E19" s="1"/>
    </row>
    <row r="20" spans="1:5" x14ac:dyDescent="0.25">
      <c r="A20" s="1"/>
      <c r="B20" s="32" t="s">
        <v>155</v>
      </c>
      <c r="C20" s="31"/>
      <c r="D20" s="19"/>
      <c r="E20" s="1"/>
    </row>
    <row r="21" spans="1:5" x14ac:dyDescent="0.25">
      <c r="A21" s="1"/>
      <c r="B21" s="69" t="s">
        <v>156</v>
      </c>
      <c r="C21" s="10">
        <f>'Fane 8. Skattesagen'!G15</f>
        <v>0</v>
      </c>
      <c r="D21" s="11" t="s">
        <v>3</v>
      </c>
      <c r="E21" s="1"/>
    </row>
    <row r="22" spans="1:5" x14ac:dyDescent="0.25">
      <c r="A22" s="1"/>
      <c r="B22" s="30" t="s">
        <v>165</v>
      </c>
      <c r="C22" s="12">
        <f>SUM(C13,C15,C17,C19,C21)</f>
        <v>129387451.30936345</v>
      </c>
      <c r="D22" s="13" t="s">
        <v>3</v>
      </c>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docTh2AeXopxZquAXxGrvEy2e7bXag3d4BxGn6lxfF6kCG22Ik7aUXKxzOZqKey6ntU+jVrsgmB67XFPSJTppg==" saltValue="AuvDIGmh6QAIQcS9TmVOow=="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 defaultRowHeight="15" x14ac:dyDescent="0.25"/>
  <cols>
    <col min="1" max="1" width="9.5703125" style="2" customWidth="1"/>
    <col min="2" max="2" width="52.28515625" style="2" customWidth="1"/>
    <col min="3" max="3" width="10.85546875" style="2" bestFit="1" customWidth="1"/>
    <col min="4" max="4" width="3.28515625" style="2" customWidth="1"/>
    <col min="5" max="5" width="9.5703125" style="2" customWidth="1"/>
    <col min="6" max="16384" width="9" style="2"/>
  </cols>
  <sheetData>
    <row r="1" spans="1:5" x14ac:dyDescent="0.25">
      <c r="A1" s="1"/>
      <c r="B1" s="1"/>
      <c r="C1" s="1"/>
      <c r="D1" s="1"/>
      <c r="E1" s="1"/>
    </row>
    <row r="2" spans="1:5" x14ac:dyDescent="0.25">
      <c r="A2" s="1"/>
      <c r="B2" s="1"/>
      <c r="C2" s="1"/>
      <c r="D2" s="1"/>
      <c r="E2" s="1"/>
    </row>
    <row r="3" spans="1:5" ht="15" customHeight="1" x14ac:dyDescent="0.25">
      <c r="A3" s="1"/>
      <c r="B3" s="115" t="s">
        <v>248</v>
      </c>
      <c r="C3" s="115"/>
      <c r="D3" s="115"/>
      <c r="E3" s="1"/>
    </row>
    <row r="4" spans="1:5" ht="15" customHeight="1" x14ac:dyDescent="0.25">
      <c r="A4" s="1"/>
      <c r="B4" s="115"/>
      <c r="C4" s="115"/>
      <c r="D4" s="115"/>
      <c r="E4" s="1"/>
    </row>
    <row r="5" spans="1:5" x14ac:dyDescent="0.25">
      <c r="A5" s="1"/>
      <c r="B5" s="119" t="s">
        <v>22</v>
      </c>
      <c r="C5" s="119"/>
      <c r="D5" s="119"/>
      <c r="E5" s="1"/>
    </row>
    <row r="6" spans="1:5" x14ac:dyDescent="0.25">
      <c r="A6" s="1"/>
      <c r="B6" s="1"/>
      <c r="C6" s="1"/>
      <c r="D6" s="1"/>
      <c r="E6" s="1"/>
    </row>
    <row r="7" spans="1:5" x14ac:dyDescent="0.25">
      <c r="A7" s="1"/>
      <c r="B7" s="30" t="s">
        <v>13</v>
      </c>
      <c r="C7" s="31"/>
      <c r="D7" s="19"/>
      <c r="E7" s="1"/>
    </row>
    <row r="8" spans="1:5" ht="15" customHeight="1" x14ac:dyDescent="0.25">
      <c r="A8" s="1"/>
      <c r="B8" s="68" t="s">
        <v>251</v>
      </c>
      <c r="C8" s="7">
        <f>'Fane 2.3. Økonomisk ramme 2026'!C13</f>
        <v>124330537.91699475</v>
      </c>
      <c r="D8" s="8" t="s">
        <v>3</v>
      </c>
      <c r="E8" s="1"/>
    </row>
    <row r="9" spans="1:5" ht="15" customHeight="1" x14ac:dyDescent="0.25">
      <c r="A9" s="1"/>
      <c r="B9" s="67" t="s">
        <v>19</v>
      </c>
      <c r="C9" s="40">
        <f>SUM(C8:C8)*'Fane 15. Nøgletal'!C16</f>
        <v>10045907.463693175</v>
      </c>
      <c r="D9" s="8" t="s">
        <v>3</v>
      </c>
      <c r="E9" s="1"/>
    </row>
    <row r="10" spans="1:5" ht="15" customHeight="1" x14ac:dyDescent="0.25">
      <c r="A10" s="1"/>
      <c r="B10" s="67" t="s">
        <v>10</v>
      </c>
      <c r="C10" s="9">
        <f>-SUM(C8:C9)*'Fane 5. Individuelt eff. krav'!G9</f>
        <v>-2252802.9412419731</v>
      </c>
      <c r="D10" s="8" t="s">
        <v>3</v>
      </c>
      <c r="E10" s="1"/>
    </row>
    <row r="11" spans="1:5" ht="15" customHeight="1" x14ac:dyDescent="0.25">
      <c r="A11" s="1"/>
      <c r="B11" s="67" t="s">
        <v>24</v>
      </c>
      <c r="C11" s="9">
        <f>-'Fane 4.1. Gen. krav - drift'!G70</f>
        <v>-780518.88999065</v>
      </c>
      <c r="D11" s="8" t="s">
        <v>3</v>
      </c>
      <c r="E11" s="1"/>
    </row>
    <row r="12" spans="1:5" ht="15" customHeight="1" x14ac:dyDescent="0.25">
      <c r="A12" s="1"/>
      <c r="B12" s="67" t="s">
        <v>25</v>
      </c>
      <c r="C12" s="9">
        <f>-'Fane 4.2. Gen. krav - anlæg'!G68</f>
        <v>0</v>
      </c>
      <c r="D12" s="8" t="s">
        <v>3</v>
      </c>
      <c r="E12" s="1"/>
    </row>
    <row r="13" spans="1:5" ht="15.75" customHeight="1" x14ac:dyDescent="0.25">
      <c r="A13" s="1"/>
      <c r="B13" s="33" t="s">
        <v>21</v>
      </c>
      <c r="C13" s="10">
        <f>SUM(C8:C12)</f>
        <v>131343123.5494553</v>
      </c>
      <c r="D13" s="11" t="s">
        <v>3</v>
      </c>
      <c r="E13" s="1"/>
    </row>
    <row r="14" spans="1:5" x14ac:dyDescent="0.25">
      <c r="A14" s="1"/>
      <c r="B14" s="30" t="s">
        <v>12</v>
      </c>
      <c r="C14" s="31"/>
      <c r="D14" s="19"/>
      <c r="E14" s="1"/>
    </row>
    <row r="15" spans="1:5" ht="15" customHeight="1" x14ac:dyDescent="0.25">
      <c r="A15" s="1"/>
      <c r="B15" s="95" t="s">
        <v>12</v>
      </c>
      <c r="C15" s="10">
        <f>'Fane 6. Ikke-påvirkelige omk.'!C16*(1+'Fane 15. Nøgletal'!C16)^3+'Fane 6. Ikke-påvirkelige omk.'!C23+'Fane 6. Ikke-påvirkelige omk.'!C31</f>
        <v>5295328.9336720891</v>
      </c>
      <c r="D15" s="11" t="s">
        <v>3</v>
      </c>
      <c r="E15" s="1"/>
    </row>
    <row r="16" spans="1:5" ht="15" customHeight="1" x14ac:dyDescent="0.25">
      <c r="A16" s="1"/>
      <c r="B16" s="30" t="s">
        <v>70</v>
      </c>
      <c r="C16" s="31"/>
      <c r="D16" s="19"/>
      <c r="E16" s="1"/>
    </row>
    <row r="17" spans="1:5" ht="15" customHeight="1" x14ac:dyDescent="0.25">
      <c r="A17" s="1"/>
      <c r="B17" s="87" t="s">
        <v>70</v>
      </c>
      <c r="C17" s="10">
        <f>'Fane 12. Periodevise driftsomk.'!E31</f>
        <v>0</v>
      </c>
      <c r="D17" s="11" t="s">
        <v>3</v>
      </c>
      <c r="E17" s="1"/>
    </row>
    <row r="18" spans="1:5" ht="15" customHeight="1" x14ac:dyDescent="0.25">
      <c r="A18" s="1"/>
      <c r="B18" s="30" t="s">
        <v>120</v>
      </c>
      <c r="C18" s="31"/>
      <c r="D18" s="19"/>
      <c r="E18" s="1"/>
    </row>
    <row r="19" spans="1:5" ht="15" customHeight="1" x14ac:dyDescent="0.25">
      <c r="A19" s="1"/>
      <c r="B19" s="95" t="s">
        <v>163</v>
      </c>
      <c r="C19" s="10">
        <v>0</v>
      </c>
      <c r="D19" s="11" t="s">
        <v>3</v>
      </c>
      <c r="E19" s="1"/>
    </row>
    <row r="20" spans="1:5" ht="15" customHeight="1" x14ac:dyDescent="0.25">
      <c r="A20" s="1"/>
      <c r="B20" s="32" t="s">
        <v>155</v>
      </c>
      <c r="C20" s="31"/>
      <c r="D20" s="19"/>
      <c r="E20" s="1"/>
    </row>
    <row r="21" spans="1:5" ht="15" customHeight="1" x14ac:dyDescent="0.25">
      <c r="A21" s="1"/>
      <c r="B21" s="69" t="s">
        <v>156</v>
      </c>
      <c r="C21" s="10">
        <f>'Fane 8. Skattesagen'!G16</f>
        <v>0</v>
      </c>
      <c r="D21" s="11" t="s">
        <v>3</v>
      </c>
      <c r="E21" s="1"/>
    </row>
    <row r="22" spans="1:5" ht="15" customHeight="1" x14ac:dyDescent="0.25">
      <c r="A22" s="1"/>
      <c r="B22" s="30" t="s">
        <v>252</v>
      </c>
      <c r="C22" s="12">
        <f>SUM(C13,C15,C17,C19,C21)</f>
        <v>136638452.48312739</v>
      </c>
      <c r="D22" s="13" t="s">
        <v>3</v>
      </c>
      <c r="E22" s="1"/>
    </row>
    <row r="23" spans="1:5" ht="15" customHeight="1"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Fe1RMoYvYUZgMROXtUjPC3uhSU7cZwf+dkn2G1q9qHWdZHFVePakqesjwdxx8rolOn0bPTzwdmAS+pM0IHNf5g==" saltValue="PFhwKuoFgyZwYoZaY5RcT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1"/>
  <sheetViews>
    <sheetView showGridLines="0" view="pageLayout" zoomScale="90" zoomScaleNormal="100" zoomScalePageLayoutView="90" workbookViewId="0"/>
  </sheetViews>
  <sheetFormatPr defaultColWidth="9" defaultRowHeight="15"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 style="2"/>
  </cols>
  <sheetData>
    <row r="1" spans="1:5" x14ac:dyDescent="0.25">
      <c r="A1" s="1"/>
      <c r="B1" s="1"/>
      <c r="C1" s="1"/>
      <c r="D1" s="1"/>
      <c r="E1" s="1"/>
    </row>
    <row r="2" spans="1:5" x14ac:dyDescent="0.25">
      <c r="A2" s="1"/>
      <c r="B2" s="1"/>
      <c r="C2" s="1"/>
      <c r="D2" s="1"/>
      <c r="E2" s="1"/>
    </row>
    <row r="3" spans="1:5" ht="24.95" customHeight="1" x14ac:dyDescent="0.25">
      <c r="A3" s="1"/>
      <c r="B3" s="121" t="s">
        <v>239</v>
      </c>
      <c r="C3" s="121"/>
      <c r="D3" s="121"/>
      <c r="E3" s="1"/>
    </row>
    <row r="4" spans="1:5" x14ac:dyDescent="0.25">
      <c r="A4" s="1"/>
      <c r="B4" s="121"/>
      <c r="C4" s="121"/>
      <c r="D4" s="121"/>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0" t="s">
        <v>240</v>
      </c>
      <c r="C8" s="31"/>
      <c r="D8" s="19"/>
      <c r="E8" s="1"/>
    </row>
    <row r="9" spans="1:5" x14ac:dyDescent="0.25">
      <c r="A9" s="1"/>
      <c r="B9" s="68" t="s">
        <v>241</v>
      </c>
      <c r="C9" s="7">
        <v>98778867.204220146</v>
      </c>
      <c r="D9" s="8" t="s">
        <v>3</v>
      </c>
      <c r="E9" s="1"/>
    </row>
    <row r="10" spans="1:5" x14ac:dyDescent="0.25">
      <c r="A10" s="1"/>
      <c r="B10" s="67" t="s">
        <v>271</v>
      </c>
      <c r="C10" s="7">
        <v>1042949.7041867425</v>
      </c>
      <c r="D10" s="8" t="s">
        <v>3</v>
      </c>
      <c r="E10" s="1"/>
    </row>
    <row r="11" spans="1:5" x14ac:dyDescent="0.25">
      <c r="A11" s="1"/>
      <c r="B11" s="67" t="s">
        <v>272</v>
      </c>
      <c r="C11" s="7">
        <v>2700921.8416955136</v>
      </c>
      <c r="D11" s="8" t="s">
        <v>3</v>
      </c>
      <c r="E11" s="1"/>
    </row>
    <row r="12" spans="1:5" x14ac:dyDescent="0.25">
      <c r="A12" s="1"/>
      <c r="B12" s="94" t="s">
        <v>37</v>
      </c>
      <c r="C12" s="36">
        <v>816047.62200000009</v>
      </c>
      <c r="D12" s="8" t="s">
        <v>3</v>
      </c>
      <c r="E12" s="1"/>
    </row>
    <row r="13" spans="1:5" x14ac:dyDescent="0.25">
      <c r="A13" s="1"/>
      <c r="B13" s="94" t="s">
        <v>38</v>
      </c>
      <c r="C13" s="36">
        <v>3145985.0328000002</v>
      </c>
      <c r="D13" s="8" t="s">
        <v>3</v>
      </c>
      <c r="E13" s="1"/>
    </row>
    <row r="14" spans="1:5" x14ac:dyDescent="0.25">
      <c r="A14" s="1"/>
      <c r="B14" s="94" t="s">
        <v>27</v>
      </c>
      <c r="C14" s="9">
        <v>0</v>
      </c>
      <c r="D14" s="8" t="s">
        <v>3</v>
      </c>
      <c r="E14" s="1"/>
    </row>
    <row r="15" spans="1:5" x14ac:dyDescent="0.25">
      <c r="A15" s="1"/>
      <c r="B15" s="94" t="s">
        <v>26</v>
      </c>
      <c r="C15" s="9">
        <v>0</v>
      </c>
      <c r="D15" s="8" t="s">
        <v>3</v>
      </c>
      <c r="E15" s="1"/>
    </row>
    <row r="16" spans="1:5" x14ac:dyDescent="0.25">
      <c r="A16" s="1"/>
      <c r="B16" s="94" t="s">
        <v>104</v>
      </c>
      <c r="C16" s="9">
        <v>0</v>
      </c>
      <c r="D16" s="8" t="s">
        <v>3</v>
      </c>
      <c r="E16" s="1"/>
    </row>
    <row r="17" spans="1:5" x14ac:dyDescent="0.25">
      <c r="A17" s="1"/>
      <c r="B17" s="94" t="s">
        <v>105</v>
      </c>
      <c r="C17" s="9">
        <v>0</v>
      </c>
      <c r="D17" s="8" t="s">
        <v>3</v>
      </c>
      <c r="E17" s="1"/>
    </row>
    <row r="18" spans="1:5" x14ac:dyDescent="0.25">
      <c r="A18" s="1"/>
      <c r="B18" s="94" t="s">
        <v>19</v>
      </c>
      <c r="C18" s="9">
        <v>467018.62428480649</v>
      </c>
      <c r="D18" s="8" t="s">
        <v>3</v>
      </c>
      <c r="E18" s="1"/>
    </row>
    <row r="19" spans="1:5" x14ac:dyDescent="0.25">
      <c r="A19" s="1"/>
      <c r="B19" s="94" t="s">
        <v>10</v>
      </c>
      <c r="C19" s="9">
        <v>-2064158.3696660991</v>
      </c>
      <c r="D19" s="8" t="s">
        <v>3</v>
      </c>
      <c r="E19" s="1"/>
    </row>
    <row r="20" spans="1:5" x14ac:dyDescent="0.25">
      <c r="A20" s="1"/>
      <c r="B20" s="94" t="s">
        <v>24</v>
      </c>
      <c r="C20" s="9">
        <v>-586495.08466122008</v>
      </c>
      <c r="D20" s="8" t="s">
        <v>3</v>
      </c>
      <c r="E20" s="38"/>
    </row>
    <row r="21" spans="1:5" x14ac:dyDescent="0.25">
      <c r="A21" s="1"/>
      <c r="B21" s="94" t="s">
        <v>25</v>
      </c>
      <c r="C21" s="9">
        <v>-1076913.6454994089</v>
      </c>
      <c r="D21" s="8" t="s">
        <v>3</v>
      </c>
      <c r="E21" s="1"/>
    </row>
    <row r="22" spans="1:5" x14ac:dyDescent="0.25">
      <c r="A22" s="1"/>
      <c r="B22" s="87" t="s">
        <v>21</v>
      </c>
      <c r="C22" s="10">
        <v>99480351.383478224</v>
      </c>
      <c r="D22" s="11" t="s">
        <v>3</v>
      </c>
      <c r="E22" s="1"/>
    </row>
    <row r="23" spans="1:5" x14ac:dyDescent="0.25">
      <c r="A23" s="1"/>
      <c r="B23" s="30" t="s">
        <v>12</v>
      </c>
      <c r="C23" s="31"/>
      <c r="D23" s="19"/>
      <c r="E23" s="1"/>
    </row>
    <row r="24" spans="1:5" x14ac:dyDescent="0.25">
      <c r="A24" s="1"/>
      <c r="B24" s="95" t="s">
        <v>12</v>
      </c>
      <c r="C24" s="10">
        <v>5213473.8849870404</v>
      </c>
      <c r="D24" s="11" t="s">
        <v>3</v>
      </c>
      <c r="E24" s="1"/>
    </row>
    <row r="25" spans="1:5" x14ac:dyDescent="0.25">
      <c r="A25" s="1"/>
      <c r="B25" s="30" t="s">
        <v>70</v>
      </c>
      <c r="C25" s="31"/>
      <c r="D25" s="19"/>
      <c r="E25" s="1"/>
    </row>
    <row r="26" spans="1:5" x14ac:dyDescent="0.25">
      <c r="A26" s="1"/>
      <c r="B26" s="87" t="s">
        <v>70</v>
      </c>
      <c r="C26" s="10">
        <v>0</v>
      </c>
      <c r="D26" s="11" t="s">
        <v>3</v>
      </c>
      <c r="E26" s="1"/>
    </row>
    <row r="27" spans="1:5" x14ac:dyDescent="0.25">
      <c r="A27" s="1"/>
      <c r="B27" s="30" t="s">
        <v>69</v>
      </c>
      <c r="C27" s="31"/>
      <c r="D27" s="19"/>
      <c r="E27" s="1"/>
    </row>
    <row r="28" spans="1:5" x14ac:dyDescent="0.25">
      <c r="A28" s="1"/>
      <c r="B28" s="94" t="s">
        <v>65</v>
      </c>
      <c r="C28" s="9">
        <v>2958534.1985126403</v>
      </c>
      <c r="D28" s="8" t="s">
        <v>3</v>
      </c>
      <c r="E28" s="1"/>
    </row>
    <row r="29" spans="1:5" x14ac:dyDescent="0.25">
      <c r="A29" s="1"/>
      <c r="B29" s="94" t="s">
        <v>66</v>
      </c>
      <c r="C29" s="9">
        <v>0</v>
      </c>
      <c r="D29" s="8" t="s">
        <v>3</v>
      </c>
      <c r="E29" s="1"/>
    </row>
    <row r="30" spans="1:5" x14ac:dyDescent="0.25">
      <c r="A30" s="1"/>
      <c r="B30" s="94" t="s">
        <v>185</v>
      </c>
      <c r="C30" s="9">
        <v>-118341.36794050562</v>
      </c>
      <c r="D30" s="8" t="s">
        <v>3</v>
      </c>
      <c r="E30" s="1"/>
    </row>
    <row r="31" spans="1:5" x14ac:dyDescent="0.25">
      <c r="A31" s="1"/>
      <c r="B31" s="37" t="s">
        <v>186</v>
      </c>
      <c r="C31" s="9">
        <v>0</v>
      </c>
      <c r="D31" s="8" t="s">
        <v>3</v>
      </c>
      <c r="E31" s="1"/>
    </row>
    <row r="32" spans="1:5" x14ac:dyDescent="0.25">
      <c r="A32" s="1"/>
      <c r="B32" s="87" t="s">
        <v>71</v>
      </c>
      <c r="C32" s="10">
        <v>2840192.8305721348</v>
      </c>
      <c r="D32" s="11" t="s">
        <v>3</v>
      </c>
      <c r="E32" s="1"/>
    </row>
    <row r="33" spans="1:5" x14ac:dyDescent="0.25">
      <c r="A33" s="1"/>
      <c r="B33" s="30" t="s">
        <v>273</v>
      </c>
      <c r="C33" s="31"/>
      <c r="D33" s="19"/>
      <c r="E33" s="1"/>
    </row>
    <row r="34" spans="1:5" x14ac:dyDescent="0.25">
      <c r="A34" s="1"/>
      <c r="B34" s="95" t="s">
        <v>273</v>
      </c>
      <c r="C34" s="10">
        <v>-352960</v>
      </c>
      <c r="D34" s="11" t="s">
        <v>3</v>
      </c>
      <c r="E34" s="1"/>
    </row>
    <row r="35" spans="1:5" x14ac:dyDescent="0.25">
      <c r="A35" s="1"/>
      <c r="B35" s="30" t="s">
        <v>119</v>
      </c>
      <c r="C35" s="31"/>
      <c r="D35" s="19"/>
      <c r="E35" s="1"/>
    </row>
    <row r="36" spans="1:5" x14ac:dyDescent="0.25">
      <c r="A36" s="1"/>
      <c r="B36" s="95" t="s">
        <v>163</v>
      </c>
      <c r="C36" s="10">
        <v>0</v>
      </c>
      <c r="D36" s="11" t="s">
        <v>3</v>
      </c>
      <c r="E36" s="1"/>
    </row>
    <row r="37" spans="1:5" x14ac:dyDescent="0.25">
      <c r="A37" s="1"/>
      <c r="B37" s="116" t="s">
        <v>155</v>
      </c>
      <c r="C37" s="117"/>
      <c r="D37" s="118"/>
      <c r="E37" s="1"/>
    </row>
    <row r="38" spans="1:5" x14ac:dyDescent="0.25">
      <c r="A38" s="1"/>
      <c r="B38" s="69" t="s">
        <v>156</v>
      </c>
      <c r="C38" s="10">
        <v>0</v>
      </c>
      <c r="D38" s="11" t="s">
        <v>3</v>
      </c>
      <c r="E38" s="1"/>
    </row>
    <row r="39" spans="1:5" x14ac:dyDescent="0.25">
      <c r="A39" s="1"/>
      <c r="B39" s="30" t="s">
        <v>274</v>
      </c>
      <c r="C39" s="12">
        <v>107181058.09903739</v>
      </c>
      <c r="D39" s="13" t="s">
        <v>3</v>
      </c>
      <c r="E39" s="1"/>
    </row>
    <row r="40" spans="1:5" ht="30" customHeight="1" x14ac:dyDescent="0.25">
      <c r="A40" s="1"/>
      <c r="B40" s="120" t="s">
        <v>275</v>
      </c>
      <c r="C40" s="120"/>
      <c r="D40" s="120"/>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39"/>
      <c r="B49" s="39"/>
      <c r="C49" s="39"/>
      <c r="D49" s="39"/>
      <c r="E49" s="39"/>
    </row>
    <row r="50" spans="1:5" x14ac:dyDescent="0.25">
      <c r="A50" s="39"/>
      <c r="B50" s="39"/>
      <c r="C50" s="39"/>
      <c r="D50" s="39"/>
      <c r="E50" s="39"/>
    </row>
    <row r="51" spans="1:5" x14ac:dyDescent="0.25">
      <c r="A51" s="39"/>
      <c r="B51" s="39"/>
      <c r="C51" s="39"/>
      <c r="D51" s="39"/>
    </row>
  </sheetData>
  <sheetProtection algorithmName="SHA-512" hashValue="IfBDgM4I0VJbHfuq4/maKePNbldtq6nsdvpCOHT28JHT12YuKze2j7dUs8+JVIuDcr2bbYCCeErkgXWr6M9qdg==" saltValue="QApU0SikjeKVx50r+fa9kg==" spinCount="100000" sheet="1" objects="1" scenarios="1"/>
  <mergeCells count="3">
    <mergeCell ref="B40:D40"/>
    <mergeCell ref="B37:D37"/>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73"/>
  <sheetViews>
    <sheetView showGridLines="0" view="pageLayout" zoomScaleNormal="100" workbookViewId="0"/>
  </sheetViews>
  <sheetFormatPr defaultColWidth="9" defaultRowHeight="15" x14ac:dyDescent="0.25"/>
  <cols>
    <col min="1" max="1" width="6" style="2" customWidth="1"/>
    <col min="2" max="5" width="9" style="2"/>
    <col min="6" max="6" width="21.42578125" style="2" customWidth="1"/>
    <col min="7" max="7" width="12.85546875" style="55" customWidth="1"/>
    <col min="8" max="8" width="4.42578125" style="2" customWidth="1"/>
    <col min="9" max="9" width="6.7109375" style="2" customWidth="1"/>
    <col min="10" max="16384" width="9" style="2"/>
  </cols>
  <sheetData>
    <row r="1" spans="1:9" ht="15" customHeight="1" x14ac:dyDescent="0.25">
      <c r="A1" s="1"/>
      <c r="B1" s="121" t="s">
        <v>90</v>
      </c>
      <c r="C1" s="121"/>
      <c r="D1" s="121"/>
      <c r="E1" s="121"/>
      <c r="F1" s="121"/>
      <c r="G1" s="121"/>
      <c r="H1" s="121"/>
      <c r="I1" s="1"/>
    </row>
    <row r="2" spans="1:9" ht="15" customHeight="1" x14ac:dyDescent="0.25">
      <c r="A2" s="1"/>
      <c r="B2" s="121"/>
      <c r="C2" s="121"/>
      <c r="D2" s="121"/>
      <c r="E2" s="121"/>
      <c r="F2" s="121"/>
      <c r="G2" s="121"/>
      <c r="H2" s="121"/>
      <c r="I2" s="1"/>
    </row>
    <row r="3" spans="1:9" ht="15" customHeight="1" x14ac:dyDescent="0.25">
      <c r="A3" s="1"/>
      <c r="B3" s="121"/>
      <c r="C3" s="121"/>
      <c r="D3" s="121"/>
      <c r="E3" s="121"/>
      <c r="F3" s="121"/>
      <c r="G3" s="121"/>
      <c r="H3" s="121"/>
      <c r="I3" s="1"/>
    </row>
    <row r="4" spans="1:9" x14ac:dyDescent="0.25">
      <c r="A4" s="1"/>
      <c r="B4" s="131" t="s">
        <v>132</v>
      </c>
      <c r="C4" s="132"/>
      <c r="D4" s="132"/>
      <c r="E4" s="132"/>
      <c r="F4" s="132"/>
      <c r="G4" s="132"/>
      <c r="H4" s="133"/>
      <c r="I4" s="1"/>
    </row>
    <row r="5" spans="1:9" x14ac:dyDescent="0.25">
      <c r="A5" s="1"/>
      <c r="B5" s="125" t="s">
        <v>133</v>
      </c>
      <c r="C5" s="126"/>
      <c r="D5" s="126"/>
      <c r="E5" s="126"/>
      <c r="F5" s="127"/>
      <c r="G5" s="57">
        <v>26882057.813250385</v>
      </c>
      <c r="H5" s="58" t="s">
        <v>3</v>
      </c>
      <c r="I5" s="1"/>
    </row>
    <row r="6" spans="1:9" ht="15" customHeight="1" x14ac:dyDescent="0.25">
      <c r="A6" s="1"/>
      <c r="B6" s="134" t="s">
        <v>134</v>
      </c>
      <c r="C6" s="135"/>
      <c r="D6" s="135"/>
      <c r="E6" s="135"/>
      <c r="F6" s="136"/>
      <c r="G6" s="71">
        <v>0</v>
      </c>
      <c r="H6" s="58" t="s">
        <v>3</v>
      </c>
      <c r="I6" s="1"/>
    </row>
    <row r="7" spans="1:9" x14ac:dyDescent="0.25">
      <c r="A7" s="1"/>
      <c r="B7" s="125" t="s">
        <v>135</v>
      </c>
      <c r="C7" s="126"/>
      <c r="D7" s="126"/>
      <c r="E7" s="126"/>
      <c r="F7" s="127"/>
      <c r="G7" s="57">
        <f>SUM(G5:G6)*'Fane 15. Nøgletal'!C33</f>
        <v>537641.15626500768</v>
      </c>
      <c r="H7" s="58" t="s">
        <v>3</v>
      </c>
      <c r="I7" s="1"/>
    </row>
    <row r="8" spans="1:9" x14ac:dyDescent="0.25">
      <c r="A8" s="1"/>
      <c r="B8" s="59"/>
      <c r="C8" s="60"/>
      <c r="D8" s="60"/>
      <c r="E8" s="60"/>
      <c r="F8" s="60"/>
      <c r="G8" s="52"/>
      <c r="H8" s="61"/>
      <c r="I8" s="1"/>
    </row>
    <row r="9" spans="1:9" x14ac:dyDescent="0.25">
      <c r="A9" s="1"/>
      <c r="B9" s="62"/>
      <c r="C9" s="62"/>
      <c r="D9" s="62"/>
      <c r="E9" s="62"/>
      <c r="F9" s="62"/>
      <c r="G9" s="53"/>
      <c r="H9" s="62"/>
      <c r="I9" s="1"/>
    </row>
    <row r="10" spans="1:9" x14ac:dyDescent="0.25">
      <c r="A10" s="1"/>
      <c r="B10" s="128" t="s">
        <v>47</v>
      </c>
      <c r="C10" s="129"/>
      <c r="D10" s="129"/>
      <c r="E10" s="129"/>
      <c r="F10" s="129"/>
      <c r="G10" s="129"/>
      <c r="H10" s="130"/>
      <c r="I10" s="1"/>
    </row>
    <row r="11" spans="1:9" x14ac:dyDescent="0.25">
      <c r="A11" s="1"/>
      <c r="B11" s="125" t="s">
        <v>136</v>
      </c>
      <c r="C11" s="126"/>
      <c r="D11" s="126"/>
      <c r="E11" s="126"/>
      <c r="F11" s="127"/>
      <c r="G11" s="57">
        <f>(G5-G7)*(1+'Fane 15. Nøgletal'!C10)</f>
        <v>26805443.948482621</v>
      </c>
      <c r="H11" s="58" t="s">
        <v>3</v>
      </c>
      <c r="I11" s="1"/>
    </row>
    <row r="12" spans="1:9" x14ac:dyDescent="0.25">
      <c r="A12" s="1"/>
      <c r="B12" s="125" t="s">
        <v>101</v>
      </c>
      <c r="C12" s="126"/>
      <c r="D12" s="126"/>
      <c r="E12" s="126"/>
      <c r="F12" s="127"/>
      <c r="G12" s="71">
        <v>116821.03132700028</v>
      </c>
      <c r="H12" s="58" t="s">
        <v>3</v>
      </c>
      <c r="I12" s="1"/>
    </row>
    <row r="13" spans="1:9" x14ac:dyDescent="0.25">
      <c r="A13" s="1"/>
      <c r="B13" s="134" t="s">
        <v>99</v>
      </c>
      <c r="C13" s="135"/>
      <c r="D13" s="135"/>
      <c r="E13" s="135"/>
      <c r="F13" s="136"/>
      <c r="G13" s="71">
        <v>0</v>
      </c>
      <c r="H13" s="58" t="s">
        <v>3</v>
      </c>
      <c r="I13" s="1"/>
    </row>
    <row r="14" spans="1:9" x14ac:dyDescent="0.25">
      <c r="A14" s="1"/>
      <c r="B14" s="122" t="s">
        <v>137</v>
      </c>
      <c r="C14" s="123"/>
      <c r="D14" s="123"/>
      <c r="E14" s="123"/>
      <c r="F14" s="124"/>
      <c r="G14" s="71">
        <v>0</v>
      </c>
      <c r="H14" s="58" t="s">
        <v>3</v>
      </c>
      <c r="I14" s="1"/>
    </row>
    <row r="15" spans="1:9" x14ac:dyDescent="0.25">
      <c r="A15" s="1"/>
      <c r="B15" s="125" t="s">
        <v>40</v>
      </c>
      <c r="C15" s="126"/>
      <c r="D15" s="126"/>
      <c r="E15" s="126"/>
      <c r="F15" s="127"/>
      <c r="G15" s="57">
        <f>SUM(G11:G14)*'Fane 15. Nøgletal'!C33</f>
        <v>538445.29959619243</v>
      </c>
      <c r="H15" s="58" t="s">
        <v>3</v>
      </c>
      <c r="I15" s="1"/>
    </row>
    <row r="16" spans="1:9" x14ac:dyDescent="0.25">
      <c r="A16" s="1"/>
      <c r="B16" s="59"/>
      <c r="C16" s="60"/>
      <c r="D16" s="60"/>
      <c r="E16" s="60"/>
      <c r="F16" s="60"/>
      <c r="G16" s="52"/>
      <c r="H16" s="61"/>
      <c r="I16" s="1"/>
    </row>
    <row r="17" spans="1:9" x14ac:dyDescent="0.25">
      <c r="A17" s="1"/>
      <c r="B17" s="62"/>
      <c r="C17" s="62"/>
      <c r="D17" s="62"/>
      <c r="E17" s="62"/>
      <c r="F17" s="62"/>
      <c r="G17" s="53"/>
      <c r="H17" s="62"/>
      <c r="I17" s="1"/>
    </row>
    <row r="18" spans="1:9" x14ac:dyDescent="0.25">
      <c r="A18" s="1"/>
      <c r="B18" s="128" t="s">
        <v>48</v>
      </c>
      <c r="C18" s="129"/>
      <c r="D18" s="129"/>
      <c r="E18" s="129"/>
      <c r="F18" s="129"/>
      <c r="G18" s="129"/>
      <c r="H18" s="130"/>
      <c r="I18" s="1"/>
    </row>
    <row r="19" spans="1:9" x14ac:dyDescent="0.25">
      <c r="A19" s="1"/>
      <c r="B19" s="125" t="s">
        <v>41</v>
      </c>
      <c r="C19" s="126"/>
      <c r="D19" s="126"/>
      <c r="E19" s="126"/>
      <c r="F19" s="127"/>
      <c r="G19" s="57">
        <f>(G11+G12+G14-G15)*(1+'Fane 15. Nøgletal'!C10)</f>
        <v>26845536.524617165</v>
      </c>
      <c r="H19" s="58" t="s">
        <v>3</v>
      </c>
      <c r="I19" s="1"/>
    </row>
    <row r="20" spans="1:9" x14ac:dyDescent="0.25">
      <c r="A20" s="1"/>
      <c r="B20" s="122" t="s">
        <v>42</v>
      </c>
      <c r="C20" s="123"/>
      <c r="D20" s="123"/>
      <c r="E20" s="123"/>
      <c r="F20" s="124"/>
      <c r="G20" s="71">
        <v>285719.92221421993</v>
      </c>
      <c r="H20" s="58" t="s">
        <v>3</v>
      </c>
      <c r="I20" s="1"/>
    </row>
    <row r="21" spans="1:9" x14ac:dyDescent="0.25">
      <c r="A21" s="1"/>
      <c r="B21" s="125" t="s">
        <v>43</v>
      </c>
      <c r="C21" s="126"/>
      <c r="D21" s="126"/>
      <c r="E21" s="126"/>
      <c r="F21" s="127"/>
      <c r="G21" s="57">
        <f>(G19+G20)*'Fane 15. Nøgletal'!C33</f>
        <v>542625.12893662776</v>
      </c>
      <c r="H21" s="58" t="s">
        <v>3</v>
      </c>
      <c r="I21" s="1"/>
    </row>
    <row r="22" spans="1:9" x14ac:dyDescent="0.25">
      <c r="A22" s="1"/>
      <c r="B22" s="59"/>
      <c r="C22" s="60"/>
      <c r="D22" s="60"/>
      <c r="E22" s="60"/>
      <c r="F22" s="60"/>
      <c r="G22" s="52"/>
      <c r="H22" s="61"/>
      <c r="I22" s="1"/>
    </row>
    <row r="23" spans="1:9" x14ac:dyDescent="0.25">
      <c r="A23" s="1"/>
      <c r="B23" s="62"/>
      <c r="C23" s="62"/>
      <c r="D23" s="62"/>
      <c r="E23" s="62"/>
      <c r="F23" s="62"/>
      <c r="G23" s="53"/>
      <c r="H23" s="62"/>
      <c r="I23" s="1"/>
    </row>
    <row r="24" spans="1:9" x14ac:dyDescent="0.25">
      <c r="A24" s="1"/>
      <c r="B24" s="128" t="s">
        <v>49</v>
      </c>
      <c r="C24" s="129"/>
      <c r="D24" s="129"/>
      <c r="E24" s="129"/>
      <c r="F24" s="129"/>
      <c r="G24" s="129"/>
      <c r="H24" s="130"/>
      <c r="I24" s="1"/>
    </row>
    <row r="25" spans="1:9" x14ac:dyDescent="0.25">
      <c r="A25" s="1"/>
      <c r="B25" s="125" t="s">
        <v>44</v>
      </c>
      <c r="C25" s="126"/>
      <c r="D25" s="126"/>
      <c r="E25" s="126"/>
      <c r="F25" s="127"/>
      <c r="G25" s="57">
        <f>G19*(1-'Fane 15. Nøgletal'!C33)*(1+'Fane 15. Nøgletal'!C10)+G20*(1-'Fane 15. Nøgletal'!C33)*(1+'Fane 15. Nøgletal'!C11)</f>
        <v>27053764.362643659</v>
      </c>
      <c r="H25" s="58" t="s">
        <v>3</v>
      </c>
      <c r="I25" s="1"/>
    </row>
    <row r="26" spans="1:9" x14ac:dyDescent="0.25">
      <c r="A26" s="1"/>
      <c r="B26" s="137" t="s">
        <v>138</v>
      </c>
      <c r="C26" s="138"/>
      <c r="D26" s="138"/>
      <c r="E26" s="138"/>
      <c r="F26" s="139"/>
      <c r="G26" s="57">
        <f>G20*(1-'Fane 15. Nøgletal'!C33)*(1+'Fane 15. Nøgletal'!C11)</f>
        <v>284737.6171216474</v>
      </c>
      <c r="H26" s="58" t="s">
        <v>3</v>
      </c>
      <c r="I26" s="1"/>
    </row>
    <row r="27" spans="1:9" x14ac:dyDescent="0.25">
      <c r="A27" s="1"/>
      <c r="B27" s="122" t="s">
        <v>45</v>
      </c>
      <c r="C27" s="123"/>
      <c r="D27" s="123"/>
      <c r="E27" s="123"/>
      <c r="F27" s="124"/>
      <c r="G27" s="71">
        <v>780401.51328051009</v>
      </c>
      <c r="H27" s="58" t="s">
        <v>3</v>
      </c>
      <c r="I27" s="1"/>
    </row>
    <row r="28" spans="1:9" x14ac:dyDescent="0.25">
      <c r="A28" s="1"/>
      <c r="B28" s="125" t="s">
        <v>46</v>
      </c>
      <c r="C28" s="126"/>
      <c r="D28" s="126"/>
      <c r="E28" s="126"/>
      <c r="F28" s="127"/>
      <c r="G28" s="57">
        <f>SUM(G25,G27)*'Fane 15. Nøgletal'!C33</f>
        <v>556683.31751848338</v>
      </c>
      <c r="H28" s="58" t="s">
        <v>3</v>
      </c>
      <c r="I28" s="1"/>
    </row>
    <row r="29" spans="1:9" x14ac:dyDescent="0.25">
      <c r="A29" s="1"/>
      <c r="B29" s="59"/>
      <c r="C29" s="60"/>
      <c r="D29" s="60"/>
      <c r="E29" s="60"/>
      <c r="F29" s="60"/>
      <c r="G29" s="52"/>
      <c r="H29" s="61"/>
      <c r="I29" s="1"/>
    </row>
    <row r="30" spans="1:9" x14ac:dyDescent="0.25">
      <c r="A30" s="1"/>
      <c r="B30" s="62"/>
      <c r="C30" s="62"/>
      <c r="D30" s="62"/>
      <c r="E30" s="62"/>
      <c r="F30" s="62"/>
      <c r="G30" s="53"/>
      <c r="H30" s="62"/>
      <c r="I30" s="1"/>
    </row>
    <row r="31" spans="1:9" x14ac:dyDescent="0.25">
      <c r="A31" s="1"/>
      <c r="B31" s="128" t="s">
        <v>50</v>
      </c>
      <c r="C31" s="129"/>
      <c r="D31" s="129"/>
      <c r="E31" s="129"/>
      <c r="F31" s="129"/>
      <c r="G31" s="129"/>
      <c r="H31" s="130"/>
      <c r="I31" s="1"/>
    </row>
    <row r="32" spans="1:9" x14ac:dyDescent="0.25">
      <c r="A32" s="1"/>
      <c r="B32" s="125" t="s">
        <v>51</v>
      </c>
      <c r="C32" s="126"/>
      <c r="D32" s="126"/>
      <c r="E32" s="126"/>
      <c r="F32" s="127"/>
      <c r="G32" s="57">
        <f>(G25-G26)*(1-'Fane 15. Nøgletal'!C33)*(1+'Fane 15. Nøgletal'!C10)+G26*(1-'Fane 15. Nøgletal'!C33)*(1+'Fane 15. Nøgletal'!C11)+G27*(1-'Fane 15. Nøgletal'!C33)*(1+'Fane 15. Nøgletal'!C12)</f>
        <v>27756353.623121552</v>
      </c>
      <c r="H32" s="58" t="s">
        <v>3</v>
      </c>
      <c r="I32" s="1"/>
    </row>
    <row r="33" spans="1:9" x14ac:dyDescent="0.25">
      <c r="A33" s="1"/>
      <c r="B33" s="137" t="s">
        <v>138</v>
      </c>
      <c r="C33" s="123"/>
      <c r="D33" s="123"/>
      <c r="E33" s="123"/>
      <c r="F33" s="124"/>
      <c r="G33" s="57">
        <f>G26*(1-'Fane 15. Nøgletal'!C33)*(1+'Fane 15. Nøgletal'!C11)</f>
        <v>283758.68919398315</v>
      </c>
      <c r="H33" s="58" t="s">
        <v>3</v>
      </c>
      <c r="I33" s="1"/>
    </row>
    <row r="34" spans="1:9" x14ac:dyDescent="0.25">
      <c r="A34" s="1"/>
      <c r="B34" s="137" t="s">
        <v>98</v>
      </c>
      <c r="C34" s="123"/>
      <c r="D34" s="123"/>
      <c r="E34" s="123"/>
      <c r="F34" s="124"/>
      <c r="G34" s="57">
        <f>G27*(1-'Fane 15. Nøgletal'!C33)*(1+'Fane 15. Nøgletal'!C12)</f>
        <v>779859.9146302935</v>
      </c>
      <c r="H34" s="58" t="s">
        <v>3</v>
      </c>
      <c r="I34" s="1"/>
    </row>
    <row r="35" spans="1:9" x14ac:dyDescent="0.25">
      <c r="A35" s="1"/>
      <c r="B35" s="125" t="s">
        <v>114</v>
      </c>
      <c r="C35" s="126"/>
      <c r="D35" s="126"/>
      <c r="E35" s="126"/>
      <c r="F35" s="127"/>
      <c r="G35" s="71">
        <v>597915.43298675993</v>
      </c>
      <c r="H35" s="58" t="s">
        <v>3</v>
      </c>
      <c r="I35" s="1"/>
    </row>
    <row r="36" spans="1:9" x14ac:dyDescent="0.25">
      <c r="A36" s="1"/>
      <c r="B36" s="125" t="s">
        <v>52</v>
      </c>
      <c r="C36" s="126"/>
      <c r="D36" s="126"/>
      <c r="E36" s="126"/>
      <c r="F36" s="127"/>
      <c r="G36" s="57">
        <f>SUM(G32,G35)*'Fane 15. Nøgletal'!C33</f>
        <v>567085.38112216617</v>
      </c>
      <c r="H36" s="58" t="s">
        <v>3</v>
      </c>
      <c r="I36" s="1"/>
    </row>
    <row r="37" spans="1:9" x14ac:dyDescent="0.25">
      <c r="A37" s="1"/>
      <c r="B37" s="59"/>
      <c r="C37" s="60"/>
      <c r="D37" s="60"/>
      <c r="E37" s="60"/>
      <c r="F37" s="60"/>
      <c r="G37" s="52"/>
      <c r="H37" s="61"/>
      <c r="I37" s="1"/>
    </row>
    <row r="38" spans="1:9" x14ac:dyDescent="0.25">
      <c r="A38" s="1"/>
      <c r="B38" s="62"/>
      <c r="C38" s="62"/>
      <c r="D38" s="62"/>
      <c r="E38" s="62"/>
      <c r="F38" s="62"/>
      <c r="G38" s="53"/>
      <c r="H38" s="62"/>
      <c r="I38" s="1"/>
    </row>
    <row r="39" spans="1:9" x14ac:dyDescent="0.25">
      <c r="A39" s="1"/>
      <c r="B39" s="128" t="s">
        <v>124</v>
      </c>
      <c r="C39" s="129"/>
      <c r="D39" s="129"/>
      <c r="E39" s="129"/>
      <c r="F39" s="129"/>
      <c r="G39" s="129"/>
      <c r="H39" s="130"/>
      <c r="I39" s="1"/>
    </row>
    <row r="40" spans="1:9" x14ac:dyDescent="0.25">
      <c r="A40" s="1"/>
      <c r="B40" s="125" t="s">
        <v>144</v>
      </c>
      <c r="C40" s="126"/>
      <c r="D40" s="126"/>
      <c r="E40" s="126"/>
      <c r="F40" s="127"/>
      <c r="G40" s="57">
        <f>(SUM(G32,G35)-G36)*(1+'Fane 15. Nøgletal'!C14)</f>
        <v>27878881.381113604</v>
      </c>
      <c r="H40" s="58" t="s">
        <v>3</v>
      </c>
      <c r="I40" s="1"/>
    </row>
    <row r="41" spans="1:9" x14ac:dyDescent="0.25">
      <c r="A41" s="1"/>
      <c r="B41" s="125" t="s">
        <v>143</v>
      </c>
      <c r="C41" s="126"/>
      <c r="D41" s="126"/>
      <c r="E41" s="126"/>
      <c r="F41" s="127"/>
      <c r="G41" s="72">
        <v>1086405.9418611901</v>
      </c>
      <c r="H41" s="58" t="s">
        <v>3</v>
      </c>
      <c r="I41" s="1"/>
    </row>
    <row r="42" spans="1:9" x14ac:dyDescent="0.25">
      <c r="A42" s="1"/>
      <c r="B42" s="125" t="s">
        <v>142</v>
      </c>
      <c r="C42" s="126"/>
      <c r="D42" s="126"/>
      <c r="E42" s="126"/>
      <c r="F42" s="127"/>
      <c r="G42" s="57">
        <f>(G40+G41)*'Fane 15. Nøgletal'!C33</f>
        <v>579305.74645949586</v>
      </c>
      <c r="H42" s="58" t="s">
        <v>3</v>
      </c>
      <c r="I42" s="1"/>
    </row>
    <row r="43" spans="1:9" x14ac:dyDescent="0.25">
      <c r="A43" s="1"/>
      <c r="B43" s="59"/>
      <c r="C43" s="60"/>
      <c r="D43" s="60"/>
      <c r="E43" s="60"/>
      <c r="F43" s="60"/>
      <c r="G43" s="52"/>
      <c r="H43" s="61"/>
      <c r="I43" s="1"/>
    </row>
    <row r="44" spans="1:9" x14ac:dyDescent="0.25">
      <c r="A44" s="1"/>
      <c r="B44" s="62"/>
      <c r="C44" s="62"/>
      <c r="D44" s="62"/>
      <c r="E44" s="62"/>
      <c r="F44" s="62"/>
      <c r="G44" s="53"/>
      <c r="H44" s="62"/>
      <c r="I44" s="1"/>
    </row>
    <row r="45" spans="1:9" x14ac:dyDescent="0.25">
      <c r="A45" s="1"/>
      <c r="B45" s="128" t="s">
        <v>131</v>
      </c>
      <c r="C45" s="129"/>
      <c r="D45" s="129"/>
      <c r="E45" s="129"/>
      <c r="F45" s="129"/>
      <c r="G45" s="129"/>
      <c r="H45" s="130"/>
      <c r="I45" s="1"/>
    </row>
    <row r="46" spans="1:9" x14ac:dyDescent="0.25">
      <c r="A46" s="1"/>
      <c r="B46" s="125" t="s">
        <v>152</v>
      </c>
      <c r="C46" s="126"/>
      <c r="D46" s="126"/>
      <c r="E46" s="126"/>
      <c r="F46" s="127"/>
      <c r="G46" s="57">
        <f>(G40+G41-G42)*(1+'Fane 15. Nøgletal'!C14)</f>
        <v>28479655.315717801</v>
      </c>
      <c r="H46" s="58" t="s">
        <v>3</v>
      </c>
      <c r="I46" s="1"/>
    </row>
    <row r="47" spans="1:9" x14ac:dyDescent="0.25">
      <c r="A47" s="1"/>
      <c r="B47" s="137" t="s">
        <v>181</v>
      </c>
      <c r="C47" s="138"/>
      <c r="D47" s="138"/>
      <c r="E47" s="138"/>
      <c r="F47" s="139"/>
      <c r="G47" s="63">
        <v>845098.91734320018</v>
      </c>
      <c r="H47" s="58" t="s">
        <v>3</v>
      </c>
      <c r="I47" s="1"/>
    </row>
    <row r="48" spans="1:9" x14ac:dyDescent="0.25">
      <c r="A48" s="1"/>
      <c r="B48" s="125" t="s">
        <v>153</v>
      </c>
      <c r="C48" s="126"/>
      <c r="D48" s="126"/>
      <c r="E48" s="126"/>
      <c r="F48" s="127"/>
      <c r="G48" s="57">
        <f>G46*'Fane 15. Nøgletal'!C33+'Fane 4.1. Gen. krav - drift'!G47*'Fane 15. Nøgletal'!C33</f>
        <v>586495.08466122008</v>
      </c>
      <c r="H48" s="58" t="s">
        <v>3</v>
      </c>
      <c r="I48" s="1"/>
    </row>
    <row r="49" spans="1:9" x14ac:dyDescent="0.25">
      <c r="A49" s="1"/>
      <c r="B49" s="59"/>
      <c r="C49" s="60"/>
      <c r="D49" s="60"/>
      <c r="E49" s="60"/>
      <c r="F49" s="60"/>
      <c r="G49" s="52"/>
      <c r="H49" s="61"/>
      <c r="I49" s="1"/>
    </row>
    <row r="50" spans="1:9" x14ac:dyDescent="0.25">
      <c r="A50" s="1"/>
      <c r="B50" s="64"/>
      <c r="C50" s="64"/>
      <c r="D50" s="64"/>
      <c r="E50" s="64"/>
      <c r="F50" s="64"/>
      <c r="G50" s="54"/>
      <c r="H50" s="64"/>
      <c r="I50" s="1"/>
    </row>
    <row r="51" spans="1:9" x14ac:dyDescent="0.25">
      <c r="A51" s="1"/>
      <c r="B51" s="64"/>
      <c r="C51" s="64"/>
      <c r="D51" s="64"/>
      <c r="E51" s="64"/>
      <c r="F51" s="64"/>
      <c r="G51" s="54"/>
      <c r="H51" s="64"/>
      <c r="I51" s="1"/>
    </row>
    <row r="52" spans="1:9" x14ac:dyDescent="0.25">
      <c r="A52" s="1"/>
      <c r="B52" s="128" t="s">
        <v>253</v>
      </c>
      <c r="C52" s="129"/>
      <c r="D52" s="129"/>
      <c r="E52" s="129"/>
      <c r="F52" s="129"/>
      <c r="G52" s="129"/>
      <c r="H52" s="130"/>
      <c r="I52" s="1"/>
    </row>
    <row r="53" spans="1:9" x14ac:dyDescent="0.25">
      <c r="A53" s="1"/>
      <c r="B53" s="125" t="s">
        <v>115</v>
      </c>
      <c r="C53" s="126"/>
      <c r="D53" s="126"/>
      <c r="E53" s="126"/>
      <c r="F53" s="127"/>
      <c r="G53" s="57">
        <f>(G46+G47-G48)*(1+'Fane 15. Nøgletal'!C16)</f>
        <v>31060310.487590484</v>
      </c>
      <c r="H53" s="58" t="s">
        <v>3</v>
      </c>
      <c r="I53" s="1"/>
    </row>
    <row r="54" spans="1:9" x14ac:dyDescent="0.25">
      <c r="A54" s="1"/>
      <c r="B54" s="137" t="s">
        <v>243</v>
      </c>
      <c r="C54" s="138"/>
      <c r="D54" s="138"/>
      <c r="E54" s="138"/>
      <c r="F54" s="139"/>
      <c r="G54" s="63">
        <f>('Fane 2.1. Økonomisk ramme 2024'!C10+'Fane 2.1. Økonomisk ramme 2024'!C14+'Fane 2.1. Økonomisk ramme 2024'!C12)*(1+'Fane 15. Nøgletal'!C16)</f>
        <v>1782414.78417408</v>
      </c>
      <c r="H54" s="58" t="s">
        <v>3</v>
      </c>
      <c r="I54" s="1"/>
    </row>
    <row r="55" spans="1:9" x14ac:dyDescent="0.25">
      <c r="A55" s="1"/>
      <c r="B55" s="125" t="s">
        <v>116</v>
      </c>
      <c r="C55" s="126"/>
      <c r="D55" s="126"/>
      <c r="E55" s="126"/>
      <c r="F55" s="127"/>
      <c r="G55" s="57">
        <f>(G53+G54)*'Fane 15. Nøgletal'!C33</f>
        <v>656854.50543529133</v>
      </c>
      <c r="H55" s="58" t="s">
        <v>3</v>
      </c>
      <c r="I55" s="1"/>
    </row>
    <row r="56" spans="1:9" x14ac:dyDescent="0.25">
      <c r="A56" s="1"/>
      <c r="B56" s="59"/>
      <c r="C56" s="60"/>
      <c r="D56" s="60"/>
      <c r="E56" s="60"/>
      <c r="F56" s="60"/>
      <c r="G56" s="52"/>
      <c r="H56" s="61"/>
      <c r="I56" s="1"/>
    </row>
    <row r="57" spans="1:9" x14ac:dyDescent="0.25">
      <c r="A57" s="1"/>
      <c r="B57" s="62"/>
      <c r="C57" s="62"/>
      <c r="D57" s="62"/>
      <c r="E57" s="62"/>
      <c r="F57" s="62"/>
      <c r="G57" s="53"/>
      <c r="H57" s="62"/>
      <c r="I57" s="1"/>
    </row>
    <row r="58" spans="1:9" x14ac:dyDescent="0.25">
      <c r="A58" s="1"/>
      <c r="B58" s="78" t="s">
        <v>254</v>
      </c>
      <c r="C58" s="79"/>
      <c r="D58" s="79"/>
      <c r="E58" s="79"/>
      <c r="F58" s="79"/>
      <c r="G58" s="65"/>
      <c r="H58" s="80"/>
      <c r="I58" s="1"/>
    </row>
    <row r="59" spans="1:9" x14ac:dyDescent="0.25">
      <c r="A59" s="1"/>
      <c r="B59" s="75" t="s">
        <v>139</v>
      </c>
      <c r="C59" s="76"/>
      <c r="D59" s="76"/>
      <c r="E59" s="76"/>
      <c r="F59" s="77"/>
      <c r="G59" s="57">
        <f>(G53+G54-G55)*(1+'Fane 15. Nøgletal'!C16)</f>
        <v>34786489.124248676</v>
      </c>
      <c r="H59" s="58" t="s">
        <v>3</v>
      </c>
      <c r="I59" s="1"/>
    </row>
    <row r="60" spans="1:9" x14ac:dyDescent="0.25">
      <c r="A60" s="1"/>
      <c r="B60" s="75" t="s">
        <v>140</v>
      </c>
      <c r="C60" s="76"/>
      <c r="D60" s="76"/>
      <c r="E60" s="76"/>
      <c r="F60" s="77"/>
      <c r="G60" s="57">
        <f>(G59)*'Fane 15. Nøgletal'!C33</f>
        <v>695729.78248497355</v>
      </c>
      <c r="H60" s="58" t="s">
        <v>3</v>
      </c>
      <c r="I60" s="1"/>
    </row>
    <row r="61" spans="1:9" x14ac:dyDescent="0.25">
      <c r="A61" s="1"/>
      <c r="B61" s="59"/>
      <c r="C61" s="60"/>
      <c r="D61" s="60"/>
      <c r="E61" s="60"/>
      <c r="F61" s="60"/>
      <c r="G61" s="52"/>
      <c r="H61" s="61"/>
      <c r="I61" s="1"/>
    </row>
    <row r="62" spans="1:9" x14ac:dyDescent="0.25">
      <c r="A62" s="1"/>
      <c r="B62" s="62"/>
      <c r="C62" s="62"/>
      <c r="D62" s="62"/>
      <c r="E62" s="62"/>
      <c r="F62" s="62"/>
      <c r="G62" s="53"/>
      <c r="H62" s="62"/>
      <c r="I62" s="1"/>
    </row>
    <row r="63" spans="1:9" x14ac:dyDescent="0.25">
      <c r="A63" s="1"/>
      <c r="B63" s="78" t="s">
        <v>166</v>
      </c>
      <c r="C63" s="79"/>
      <c r="D63" s="79"/>
      <c r="E63" s="79"/>
      <c r="F63" s="79"/>
      <c r="G63" s="65"/>
      <c r="H63" s="80"/>
      <c r="I63" s="1"/>
    </row>
    <row r="64" spans="1:9" x14ac:dyDescent="0.25">
      <c r="A64" s="1"/>
      <c r="B64" s="75" t="s">
        <v>167</v>
      </c>
      <c r="C64" s="76"/>
      <c r="D64" s="76"/>
      <c r="E64" s="76"/>
      <c r="F64" s="77"/>
      <c r="G64" s="57">
        <f>(G59-G60)*(1+'Fane 15. Nøgletal'!C16)</f>
        <v>36845292.696578212</v>
      </c>
      <c r="H64" s="58" t="s">
        <v>3</v>
      </c>
      <c r="I64" s="1"/>
    </row>
    <row r="65" spans="1:9" x14ac:dyDescent="0.25">
      <c r="A65" s="1"/>
      <c r="B65" s="75" t="s">
        <v>168</v>
      </c>
      <c r="C65" s="76"/>
      <c r="D65" s="76"/>
      <c r="E65" s="76"/>
      <c r="F65" s="77"/>
      <c r="G65" s="57">
        <f>(G64)*'Fane 15. Nøgletal'!C33</f>
        <v>736905.85393156426</v>
      </c>
      <c r="H65" s="58" t="s">
        <v>3</v>
      </c>
      <c r="I65" s="1"/>
    </row>
    <row r="66" spans="1:9" x14ac:dyDescent="0.25">
      <c r="A66" s="1"/>
      <c r="B66" s="59"/>
      <c r="C66" s="60"/>
      <c r="D66" s="60"/>
      <c r="E66" s="60"/>
      <c r="F66" s="60"/>
      <c r="G66" s="52"/>
      <c r="H66" s="61"/>
      <c r="I66" s="1"/>
    </row>
    <row r="67" spans="1:9" x14ac:dyDescent="0.25">
      <c r="A67" s="1"/>
      <c r="B67" s="62"/>
      <c r="C67" s="62"/>
      <c r="D67" s="62"/>
      <c r="E67" s="62"/>
      <c r="F67" s="62"/>
      <c r="G67" s="53"/>
      <c r="H67" s="62"/>
      <c r="I67" s="1"/>
    </row>
    <row r="68" spans="1:9" x14ac:dyDescent="0.25">
      <c r="A68" s="1"/>
      <c r="B68" s="78" t="s">
        <v>242</v>
      </c>
      <c r="C68" s="79"/>
      <c r="D68" s="79"/>
      <c r="E68" s="79"/>
      <c r="F68" s="79"/>
      <c r="G68" s="65"/>
      <c r="H68" s="80"/>
      <c r="I68" s="1"/>
    </row>
    <row r="69" spans="1:9" x14ac:dyDescent="0.25">
      <c r="A69" s="1"/>
      <c r="B69" s="75" t="s">
        <v>227</v>
      </c>
      <c r="C69" s="76"/>
      <c r="D69" s="76"/>
      <c r="E69" s="76"/>
      <c r="F69" s="77"/>
      <c r="G69" s="57">
        <f>(G64-G65)*(1+'Fane 15. Nøgletal'!C16)</f>
        <v>39025944.499532498</v>
      </c>
      <c r="H69" s="58" t="s">
        <v>3</v>
      </c>
      <c r="I69" s="1"/>
    </row>
    <row r="70" spans="1:9" x14ac:dyDescent="0.25">
      <c r="A70" s="1"/>
      <c r="B70" s="75" t="s">
        <v>228</v>
      </c>
      <c r="C70" s="76"/>
      <c r="D70" s="76"/>
      <c r="E70" s="76"/>
      <c r="F70" s="77"/>
      <c r="G70" s="57">
        <f>(G69)*'Fane 15. Nøgletal'!C33</f>
        <v>780518.88999065</v>
      </c>
      <c r="H70" s="58" t="s">
        <v>3</v>
      </c>
      <c r="I70" s="1"/>
    </row>
    <row r="71" spans="1:9" x14ac:dyDescent="0.25">
      <c r="A71" s="1"/>
      <c r="B71" s="30"/>
      <c r="C71" s="31"/>
      <c r="D71" s="31"/>
      <c r="E71" s="31"/>
      <c r="F71" s="31"/>
      <c r="G71" s="52"/>
      <c r="H71" s="19"/>
      <c r="I71" s="1"/>
    </row>
    <row r="72" spans="1:9" x14ac:dyDescent="0.25">
      <c r="A72" s="1"/>
      <c r="B72" s="1"/>
      <c r="C72" s="1"/>
      <c r="D72" s="1"/>
      <c r="E72" s="1"/>
      <c r="F72" s="1"/>
      <c r="G72" s="53"/>
      <c r="H72" s="1"/>
      <c r="I72" s="1"/>
    </row>
    <row r="73" spans="1:9" x14ac:dyDescent="0.25">
      <c r="A73" s="1"/>
      <c r="B73" s="1"/>
      <c r="C73" s="1"/>
      <c r="D73" s="1"/>
      <c r="E73" s="1"/>
      <c r="F73" s="1"/>
      <c r="G73" s="53"/>
      <c r="H73" s="1"/>
      <c r="I73" s="1"/>
    </row>
  </sheetData>
  <sheetProtection algorithmName="SHA-512" hashValue="G5tTvGvR+jVo55sNEBFj1IgXEFoGuYfWcUYpvX8hb8WHgGWCMccWmWa1Ex1dbTkGigzqHUzQYDiM91/iWRA5pA==" saltValue="3ssFO2K4+p4TkbZ7rjdUtg==" spinCount="100000" sheet="1" objects="1" scenarios="1"/>
  <mergeCells count="38">
    <mergeCell ref="B41:F41"/>
    <mergeCell ref="B47:F47"/>
    <mergeCell ref="B52:H52"/>
    <mergeCell ref="B53:F53"/>
    <mergeCell ref="B55:F55"/>
    <mergeCell ref="B48:F48"/>
    <mergeCell ref="B54:F54"/>
    <mergeCell ref="B12:F12"/>
    <mergeCell ref="B28:F28"/>
    <mergeCell ref="B36:F36"/>
    <mergeCell ref="B45:H45"/>
    <mergeCell ref="B46:F46"/>
    <mergeCell ref="B39:H39"/>
    <mergeCell ref="B42:F42"/>
    <mergeCell ref="B40:F40"/>
    <mergeCell ref="B13:F13"/>
    <mergeCell ref="B35:F35"/>
    <mergeCell ref="B26:F26"/>
    <mergeCell ref="B33:F33"/>
    <mergeCell ref="B34:F34"/>
    <mergeCell ref="B18:H18"/>
    <mergeCell ref="B24:H24"/>
    <mergeCell ref="B32:F32"/>
    <mergeCell ref="B1:H3"/>
    <mergeCell ref="B4:H4"/>
    <mergeCell ref="B5:F5"/>
    <mergeCell ref="B7:F7"/>
    <mergeCell ref="B11:F11"/>
    <mergeCell ref="B10:H10"/>
    <mergeCell ref="B6:F6"/>
    <mergeCell ref="B14:F14"/>
    <mergeCell ref="B15:F15"/>
    <mergeCell ref="B19:F19"/>
    <mergeCell ref="B20:F20"/>
    <mergeCell ref="B31:H31"/>
    <mergeCell ref="B21:F21"/>
    <mergeCell ref="B25:F25"/>
    <mergeCell ref="B27:F2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71"/>
  <sheetViews>
    <sheetView showGridLines="0" view="pageLayout" zoomScale="87" zoomScaleNormal="100" zoomScalePageLayoutView="87" workbookViewId="0"/>
  </sheetViews>
  <sheetFormatPr defaultColWidth="9" defaultRowHeight="15" x14ac:dyDescent="0.25"/>
  <cols>
    <col min="1" max="1" width="2.28515625" style="2" customWidth="1"/>
    <col min="2" max="5" width="9" style="2"/>
    <col min="6" max="6" width="21.42578125" style="2" customWidth="1"/>
    <col min="7" max="7" width="21.7109375" style="2" customWidth="1"/>
    <col min="8" max="8" width="3.5703125" style="2" customWidth="1"/>
    <col min="9" max="9" width="2.28515625" style="2" customWidth="1"/>
    <col min="10" max="16384" width="9" style="2"/>
  </cols>
  <sheetData>
    <row r="1" spans="1:9" x14ac:dyDescent="0.25">
      <c r="A1" s="1"/>
      <c r="B1" s="1"/>
      <c r="C1" s="1"/>
      <c r="D1" s="1"/>
      <c r="E1" s="1"/>
      <c r="F1" s="1"/>
      <c r="G1" s="1"/>
      <c r="H1" s="1"/>
      <c r="I1" s="1"/>
    </row>
    <row r="2" spans="1:9" ht="15" customHeight="1" x14ac:dyDescent="0.25">
      <c r="A2" s="1"/>
      <c r="B2" s="140" t="s">
        <v>89</v>
      </c>
      <c r="C2" s="140"/>
      <c r="D2" s="140"/>
      <c r="E2" s="140"/>
      <c r="F2" s="140"/>
      <c r="G2" s="140"/>
      <c r="H2" s="140"/>
      <c r="I2" s="1"/>
    </row>
    <row r="3" spans="1:9" ht="28.5" customHeight="1" x14ac:dyDescent="0.25">
      <c r="A3" s="1"/>
      <c r="B3" s="140"/>
      <c r="C3" s="140"/>
      <c r="D3" s="140"/>
      <c r="E3" s="140"/>
      <c r="F3" s="140"/>
      <c r="G3" s="140"/>
      <c r="H3" s="140"/>
      <c r="I3" s="1"/>
    </row>
    <row r="4" spans="1:9" ht="18.75" x14ac:dyDescent="0.3">
      <c r="A4" s="1"/>
      <c r="B4" s="25"/>
      <c r="C4" s="25"/>
      <c r="D4" s="25"/>
      <c r="E4" s="25"/>
      <c r="F4" s="25"/>
      <c r="G4" s="25"/>
      <c r="H4" s="25"/>
      <c r="I4" s="1"/>
    </row>
    <row r="5" spans="1:9" x14ac:dyDescent="0.25">
      <c r="A5" s="1"/>
      <c r="B5" s="131" t="s">
        <v>145</v>
      </c>
      <c r="C5" s="132"/>
      <c r="D5" s="132"/>
      <c r="E5" s="132"/>
      <c r="F5" s="132"/>
      <c r="G5" s="132"/>
      <c r="H5" s="133"/>
      <c r="I5" s="1"/>
    </row>
    <row r="6" spans="1:9" x14ac:dyDescent="0.25">
      <c r="A6" s="1"/>
      <c r="B6" s="125" t="s">
        <v>146</v>
      </c>
      <c r="C6" s="126"/>
      <c r="D6" s="126"/>
      <c r="E6" s="126"/>
      <c r="F6" s="127"/>
      <c r="G6" s="71">
        <v>65110348.012595333</v>
      </c>
      <c r="H6" s="58" t="s">
        <v>3</v>
      </c>
      <c r="I6" s="1"/>
    </row>
    <row r="7" spans="1:9" x14ac:dyDescent="0.25">
      <c r="A7" s="1"/>
      <c r="B7" s="125" t="s">
        <v>141</v>
      </c>
      <c r="C7" s="126"/>
      <c r="D7" s="126"/>
      <c r="E7" s="126"/>
      <c r="F7" s="127"/>
      <c r="G7" s="57">
        <f>G6*'Fane 15. Nøgletal'!C21</f>
        <v>592504.16691461753</v>
      </c>
      <c r="H7" s="58" t="s">
        <v>3</v>
      </c>
      <c r="I7" s="1"/>
    </row>
    <row r="8" spans="1:9" x14ac:dyDescent="0.25">
      <c r="A8" s="1"/>
      <c r="B8" s="59"/>
      <c r="C8" s="60"/>
      <c r="D8" s="60"/>
      <c r="E8" s="60"/>
      <c r="F8" s="60"/>
      <c r="G8" s="60"/>
      <c r="H8" s="61"/>
      <c r="I8" s="1"/>
    </row>
    <row r="9" spans="1:9" x14ac:dyDescent="0.25">
      <c r="A9" s="1"/>
      <c r="B9" s="62"/>
      <c r="C9" s="62"/>
      <c r="D9" s="62"/>
      <c r="E9" s="62"/>
      <c r="F9" s="62"/>
      <c r="G9" s="62"/>
      <c r="H9" s="62"/>
      <c r="I9" s="1"/>
    </row>
    <row r="10" spans="1:9" x14ac:dyDescent="0.25">
      <c r="A10" s="1"/>
      <c r="B10" s="128" t="s">
        <v>53</v>
      </c>
      <c r="C10" s="129"/>
      <c r="D10" s="129"/>
      <c r="E10" s="129"/>
      <c r="F10" s="129"/>
      <c r="G10" s="129"/>
      <c r="H10" s="130"/>
      <c r="I10" s="1"/>
    </row>
    <row r="11" spans="1:9" x14ac:dyDescent="0.25">
      <c r="A11" s="1"/>
      <c r="B11" s="125" t="s">
        <v>147</v>
      </c>
      <c r="C11" s="126"/>
      <c r="D11" s="126"/>
      <c r="E11" s="126"/>
      <c r="F11" s="127"/>
      <c r="G11" s="57">
        <f>(G6-G7)*(1+'Fane 15. Nøgletal'!C10)</f>
        <v>65646906.112980127</v>
      </c>
      <c r="H11" s="58" t="s">
        <v>3</v>
      </c>
      <c r="I11" s="1"/>
    </row>
    <row r="12" spans="1:9" x14ac:dyDescent="0.25">
      <c r="A12" s="1"/>
      <c r="B12" s="125" t="s">
        <v>102</v>
      </c>
      <c r="C12" s="126"/>
      <c r="D12" s="126"/>
      <c r="E12" s="126"/>
      <c r="F12" s="127"/>
      <c r="G12" s="71">
        <v>-221815.57321785053</v>
      </c>
      <c r="H12" s="58" t="s">
        <v>3</v>
      </c>
      <c r="I12" s="1"/>
    </row>
    <row r="13" spans="1:9" x14ac:dyDescent="0.25">
      <c r="A13" s="1"/>
      <c r="B13" s="122" t="s">
        <v>233</v>
      </c>
      <c r="C13" s="123"/>
      <c r="D13" s="123"/>
      <c r="E13" s="123"/>
      <c r="F13" s="124"/>
      <c r="G13" s="71">
        <v>0</v>
      </c>
      <c r="H13" s="58" t="s">
        <v>3</v>
      </c>
      <c r="I13" s="1"/>
    </row>
    <row r="14" spans="1:9" x14ac:dyDescent="0.25">
      <c r="A14" s="1"/>
      <c r="B14" s="125" t="s">
        <v>54</v>
      </c>
      <c r="C14" s="126"/>
      <c r="D14" s="126"/>
      <c r="E14" s="126"/>
      <c r="F14" s="127"/>
      <c r="G14" s="57">
        <f>SUM(G11:G13)*'Fane 15. Nøgletal'!C22</f>
        <v>1158024.1025537923</v>
      </c>
      <c r="H14" s="58" t="s">
        <v>3</v>
      </c>
      <c r="I14" s="1"/>
    </row>
    <row r="15" spans="1:9" x14ac:dyDescent="0.25">
      <c r="A15" s="1"/>
      <c r="B15" s="59"/>
      <c r="C15" s="60"/>
      <c r="D15" s="60"/>
      <c r="E15" s="60"/>
      <c r="F15" s="60"/>
      <c r="G15" s="60"/>
      <c r="H15" s="61"/>
      <c r="I15" s="1"/>
    </row>
    <row r="16" spans="1:9" x14ac:dyDescent="0.25">
      <c r="A16" s="1"/>
      <c r="B16" s="62"/>
      <c r="C16" s="62"/>
      <c r="D16" s="62"/>
      <c r="E16" s="62"/>
      <c r="F16" s="62"/>
      <c r="G16" s="62"/>
      <c r="H16" s="62"/>
      <c r="I16" s="1"/>
    </row>
    <row r="17" spans="1:9" x14ac:dyDescent="0.25">
      <c r="A17" s="1"/>
      <c r="B17" s="128" t="s">
        <v>55</v>
      </c>
      <c r="C17" s="129"/>
      <c r="D17" s="129"/>
      <c r="E17" s="129"/>
      <c r="F17" s="129"/>
      <c r="G17" s="129"/>
      <c r="H17" s="130"/>
      <c r="I17" s="1"/>
    </row>
    <row r="18" spans="1:9" x14ac:dyDescent="0.25">
      <c r="A18" s="1"/>
      <c r="B18" s="125" t="s">
        <v>56</v>
      </c>
      <c r="C18" s="126"/>
      <c r="D18" s="126"/>
      <c r="E18" s="126"/>
      <c r="F18" s="127"/>
      <c r="G18" s="57">
        <f>(G11+G12+G13-G14)*(1+'Fane 15. Nøgletal'!C10)</f>
        <v>65391740.099859633</v>
      </c>
      <c r="H18" s="58" t="s">
        <v>3</v>
      </c>
      <c r="I18" s="1"/>
    </row>
    <row r="19" spans="1:9" x14ac:dyDescent="0.25">
      <c r="A19" s="1"/>
      <c r="B19" s="122" t="s">
        <v>234</v>
      </c>
      <c r="C19" s="123"/>
      <c r="D19" s="123"/>
      <c r="E19" s="123"/>
      <c r="F19" s="124"/>
      <c r="G19" s="71">
        <v>1639829.1763689697</v>
      </c>
      <c r="H19" s="58" t="s">
        <v>3</v>
      </c>
      <c r="I19" s="1"/>
    </row>
    <row r="20" spans="1:9" x14ac:dyDescent="0.25">
      <c r="A20" s="1"/>
      <c r="B20" s="125" t="s">
        <v>57</v>
      </c>
      <c r="C20" s="126"/>
      <c r="D20" s="126"/>
      <c r="E20" s="126"/>
      <c r="F20" s="127"/>
      <c r="G20" s="57">
        <f>G18*'Fane 15. Nøgletal'!C22+G19*'Fane 15. Nøgletal'!C23</f>
        <v>1171700.3136019257</v>
      </c>
      <c r="H20" s="58" t="s">
        <v>3</v>
      </c>
      <c r="I20" s="1"/>
    </row>
    <row r="21" spans="1:9" x14ac:dyDescent="0.25">
      <c r="A21" s="1"/>
      <c r="B21" s="59"/>
      <c r="C21" s="60"/>
      <c r="D21" s="60"/>
      <c r="E21" s="60"/>
      <c r="F21" s="60"/>
      <c r="G21" s="60"/>
      <c r="H21" s="61"/>
      <c r="I21" s="1"/>
    </row>
    <row r="22" spans="1:9" x14ac:dyDescent="0.25">
      <c r="A22" s="1"/>
      <c r="B22" s="62"/>
      <c r="C22" s="62"/>
      <c r="D22" s="62"/>
      <c r="E22" s="62"/>
      <c r="F22" s="62"/>
      <c r="G22" s="62"/>
      <c r="H22" s="62"/>
      <c r="I22" s="1"/>
    </row>
    <row r="23" spans="1:9" x14ac:dyDescent="0.25">
      <c r="A23" s="1"/>
      <c r="B23" s="128" t="s">
        <v>130</v>
      </c>
      <c r="C23" s="129"/>
      <c r="D23" s="129"/>
      <c r="E23" s="129"/>
      <c r="F23" s="129"/>
      <c r="G23" s="129"/>
      <c r="H23" s="130"/>
      <c r="I23" s="1"/>
    </row>
    <row r="24" spans="1:9" x14ac:dyDescent="0.25">
      <c r="A24" s="1"/>
      <c r="B24" s="125" t="s">
        <v>58</v>
      </c>
      <c r="C24" s="126"/>
      <c r="D24" s="126"/>
      <c r="E24" s="126"/>
      <c r="F24" s="127"/>
      <c r="G24" s="57">
        <f>G18*(1-'Fane 15. Nøgletal'!C22)*(1+'Fane 15. Nøgletal'!C10)+G19*(1-'Fane 15. Nøgletal'!C23)*(1+'Fane 15. Nøgletal'!C11)</f>
        <v>67011441.331875123</v>
      </c>
      <c r="H24" s="58" t="s">
        <v>3</v>
      </c>
      <c r="I24" s="1"/>
    </row>
    <row r="25" spans="1:9" x14ac:dyDescent="0.25">
      <c r="A25" s="1"/>
      <c r="B25" s="137" t="s">
        <v>148</v>
      </c>
      <c r="C25" s="123"/>
      <c r="D25" s="123"/>
      <c r="E25" s="123"/>
      <c r="F25" s="124"/>
      <c r="G25" s="57">
        <f>G19*(1-'Fane 15. Nøgletal'!C23)*(1+'Fane 15. Nøgletal'!C11)</f>
        <v>1653034.6715313934</v>
      </c>
      <c r="H25" s="58" t="s">
        <v>3</v>
      </c>
      <c r="I25" s="1"/>
    </row>
    <row r="26" spans="1:9" x14ac:dyDescent="0.25">
      <c r="A26" s="1"/>
      <c r="B26" s="122" t="s">
        <v>235</v>
      </c>
      <c r="C26" s="123"/>
      <c r="D26" s="123"/>
      <c r="E26" s="123"/>
      <c r="F26" s="124"/>
      <c r="G26" s="71">
        <v>3194446.882744458</v>
      </c>
      <c r="H26" s="58" t="s">
        <v>3</v>
      </c>
      <c r="I26" s="1"/>
    </row>
    <row r="27" spans="1:9" x14ac:dyDescent="0.25">
      <c r="A27" s="1"/>
      <c r="B27" s="125" t="s">
        <v>59</v>
      </c>
      <c r="C27" s="126"/>
      <c r="D27" s="126"/>
      <c r="E27" s="126"/>
      <c r="F27" s="127"/>
      <c r="G27" s="57">
        <f>(G24-G25)*'Fane 15. Nøgletal'!C23+G25*'Fane 15. Nøgletal'!C24+G26*'Fane 15. Nøgletal'!C25</f>
        <v>703411.61189195467</v>
      </c>
      <c r="H27" s="58" t="s">
        <v>3</v>
      </c>
      <c r="I27" s="1"/>
    </row>
    <row r="28" spans="1:9" x14ac:dyDescent="0.25">
      <c r="A28" s="1"/>
      <c r="B28" s="59"/>
      <c r="C28" s="60"/>
      <c r="D28" s="60"/>
      <c r="E28" s="60"/>
      <c r="F28" s="60"/>
      <c r="G28" s="60"/>
      <c r="H28" s="61"/>
      <c r="I28" s="1"/>
    </row>
    <row r="29" spans="1:9" x14ac:dyDescent="0.25">
      <c r="A29" s="1"/>
      <c r="B29" s="62"/>
      <c r="C29" s="62"/>
      <c r="D29" s="62"/>
      <c r="E29" s="62"/>
      <c r="F29" s="62"/>
      <c r="G29" s="62"/>
      <c r="H29" s="62"/>
      <c r="I29" s="1"/>
    </row>
    <row r="30" spans="1:9" x14ac:dyDescent="0.25">
      <c r="A30" s="1"/>
      <c r="B30" s="128" t="s">
        <v>60</v>
      </c>
      <c r="C30" s="129"/>
      <c r="D30" s="129"/>
      <c r="E30" s="129"/>
      <c r="F30" s="129"/>
      <c r="G30" s="129"/>
      <c r="H30" s="130"/>
      <c r="I30" s="1"/>
    </row>
    <row r="31" spans="1:9" x14ac:dyDescent="0.25">
      <c r="A31" s="1"/>
      <c r="B31" s="125" t="s">
        <v>61</v>
      </c>
      <c r="C31" s="126"/>
      <c r="D31" s="126"/>
      <c r="E31" s="126"/>
      <c r="F31" s="127"/>
      <c r="G31" s="57">
        <f>(G24-G25)*(1-'Fane 15. Nøgletal'!C22)*(1+'Fane 15. Nøgletal'!C10)+G25*(1-'Fane 15. Nøgletal'!C23)*(1+'Fane 15. Nøgletal'!C11)+G26*(1-'Fane 15. Nøgletal'!C24)*(1+'Fane 15. Nøgletal'!C12)</f>
        <v>70156304.688421443</v>
      </c>
      <c r="H31" s="58" t="s">
        <v>3</v>
      </c>
      <c r="I31" s="1"/>
    </row>
    <row r="32" spans="1:9" x14ac:dyDescent="0.25">
      <c r="A32" s="1"/>
      <c r="B32" s="137" t="s">
        <v>149</v>
      </c>
      <c r="C32" s="123"/>
      <c r="D32" s="123"/>
      <c r="E32" s="123"/>
      <c r="F32" s="124"/>
      <c r="G32" s="57">
        <f>G25*(1-'Fane 15. Nøgletal'!C23)*(1+'Fane 15. Nøgletal'!C11)</f>
        <v>1666346.5101501953</v>
      </c>
      <c r="H32" s="58" t="s">
        <v>3</v>
      </c>
      <c r="I32" s="1"/>
    </row>
    <row r="33" spans="1:9" x14ac:dyDescent="0.25">
      <c r="A33" s="1"/>
      <c r="B33" s="137" t="s">
        <v>97</v>
      </c>
      <c r="C33" s="123"/>
      <c r="D33" s="123"/>
      <c r="E33" s="123"/>
      <c r="F33" s="124"/>
      <c r="G33" s="57">
        <f>G26*(1-'Fane 15. Nøgletal'!C24)*(1+'Fane 15. Nøgletal'!C12)</f>
        <v>3164867.9657226233</v>
      </c>
      <c r="H33" s="58" t="s">
        <v>3</v>
      </c>
      <c r="I33" s="1"/>
    </row>
    <row r="34" spans="1:9" x14ac:dyDescent="0.25">
      <c r="A34" s="1"/>
      <c r="B34" s="125" t="s">
        <v>236</v>
      </c>
      <c r="C34" s="126"/>
      <c r="D34" s="126"/>
      <c r="E34" s="126"/>
      <c r="F34" s="127"/>
      <c r="G34" s="71">
        <v>1735423.85624328</v>
      </c>
      <c r="H34" s="58" t="s">
        <v>3</v>
      </c>
      <c r="I34" s="1"/>
    </row>
    <row r="35" spans="1:9" x14ac:dyDescent="0.25">
      <c r="A35" s="1"/>
      <c r="B35" s="125" t="s">
        <v>62</v>
      </c>
      <c r="C35" s="126"/>
      <c r="D35" s="126"/>
      <c r="E35" s="126"/>
      <c r="F35" s="127"/>
      <c r="G35" s="57">
        <f>(G31-SUM(G32:G33))*'Fane 15. Nøgletal'!C22+G32*'Fane 15. Nøgletal'!C23+G33*'Fane 15. Nøgletal'!C24+G34*'Fane 15. Nøgletal'!C25</f>
        <v>1308357.7176736302</v>
      </c>
      <c r="H35" s="58" t="s">
        <v>3</v>
      </c>
      <c r="I35" s="1"/>
    </row>
    <row r="36" spans="1:9" x14ac:dyDescent="0.25">
      <c r="A36" s="1"/>
      <c r="B36" s="59"/>
      <c r="C36" s="60"/>
      <c r="D36" s="60"/>
      <c r="E36" s="60"/>
      <c r="F36" s="60"/>
      <c r="G36" s="60"/>
      <c r="H36" s="61"/>
      <c r="I36" s="1"/>
    </row>
    <row r="37" spans="1:9" x14ac:dyDescent="0.25">
      <c r="A37" s="1"/>
      <c r="B37" s="62"/>
      <c r="C37" s="62"/>
      <c r="D37" s="62"/>
      <c r="E37" s="62"/>
      <c r="F37" s="62"/>
      <c r="G37" s="62"/>
      <c r="H37" s="62"/>
      <c r="I37" s="1"/>
    </row>
    <row r="38" spans="1:9" x14ac:dyDescent="0.25">
      <c r="A38" s="1"/>
      <c r="B38" s="128" t="s">
        <v>125</v>
      </c>
      <c r="C38" s="129"/>
      <c r="D38" s="129"/>
      <c r="E38" s="129"/>
      <c r="F38" s="129"/>
      <c r="G38" s="129"/>
      <c r="H38" s="130"/>
      <c r="I38" s="1"/>
    </row>
    <row r="39" spans="1:9" x14ac:dyDescent="0.25">
      <c r="A39" s="1"/>
      <c r="B39" s="125" t="s">
        <v>150</v>
      </c>
      <c r="C39" s="126"/>
      <c r="D39" s="126"/>
      <c r="E39" s="126"/>
      <c r="F39" s="127"/>
      <c r="G39" s="57">
        <f>(SUM(G31,G34)-G35)*(1+'Fane 15. Nøgletal'!C14)</f>
        <v>70816295.950720176</v>
      </c>
      <c r="H39" s="58" t="s">
        <v>3</v>
      </c>
      <c r="I39" s="1"/>
    </row>
    <row r="40" spans="1:9" x14ac:dyDescent="0.25">
      <c r="A40" s="1"/>
      <c r="B40" s="125" t="s">
        <v>237</v>
      </c>
      <c r="C40" s="126"/>
      <c r="D40" s="126"/>
      <c r="E40" s="126"/>
      <c r="F40" s="127"/>
      <c r="G40" s="71">
        <v>2798302.7783832508</v>
      </c>
      <c r="H40" s="58" t="s">
        <v>3</v>
      </c>
      <c r="I40" s="1"/>
    </row>
    <row r="41" spans="1:9" x14ac:dyDescent="0.25">
      <c r="A41" s="1"/>
      <c r="B41" s="125" t="s">
        <v>126</v>
      </c>
      <c r="C41" s="126"/>
      <c r="D41" s="126"/>
      <c r="E41" s="126"/>
      <c r="F41" s="127"/>
      <c r="G41" s="57">
        <f>(G39+G40)*'Fane 15. Nøgletal'!C26</f>
        <v>1089496.0611907309</v>
      </c>
      <c r="H41" s="58" t="s">
        <v>3</v>
      </c>
      <c r="I41" s="1"/>
    </row>
    <row r="42" spans="1:9" x14ac:dyDescent="0.25">
      <c r="A42" s="1"/>
      <c r="B42" s="59"/>
      <c r="C42" s="60"/>
      <c r="D42" s="60"/>
      <c r="E42" s="60"/>
      <c r="F42" s="60"/>
      <c r="G42" s="60"/>
      <c r="H42" s="61"/>
      <c r="I42" s="1"/>
    </row>
    <row r="43" spans="1:9" x14ac:dyDescent="0.25">
      <c r="A43" s="1"/>
      <c r="B43" s="62"/>
      <c r="C43" s="62"/>
      <c r="D43" s="62"/>
      <c r="E43" s="62"/>
      <c r="F43" s="62"/>
      <c r="G43" s="62"/>
      <c r="H43" s="62"/>
      <c r="I43" s="1"/>
    </row>
    <row r="44" spans="1:9" x14ac:dyDescent="0.25">
      <c r="A44" s="1"/>
      <c r="B44" s="128" t="s">
        <v>182</v>
      </c>
      <c r="C44" s="129"/>
      <c r="D44" s="129"/>
      <c r="E44" s="129"/>
      <c r="F44" s="129"/>
      <c r="G44" s="129"/>
      <c r="H44" s="130"/>
      <c r="I44" s="1"/>
    </row>
    <row r="45" spans="1:9" x14ac:dyDescent="0.25">
      <c r="A45" s="1"/>
      <c r="B45" s="125" t="s">
        <v>63</v>
      </c>
      <c r="C45" s="126"/>
      <c r="D45" s="126"/>
      <c r="E45" s="126"/>
      <c r="F45" s="127"/>
      <c r="G45" s="57">
        <f>(G39+G40-G41)*(1+'Fane 15. Nøgletal'!C14)</f>
        <v>72764435.506716818</v>
      </c>
      <c r="H45" s="58" t="s">
        <v>3</v>
      </c>
      <c r="I45" s="1"/>
    </row>
    <row r="46" spans="1:9" x14ac:dyDescent="0.25">
      <c r="A46" s="1"/>
      <c r="B46" s="137" t="s">
        <v>184</v>
      </c>
      <c r="C46" s="138"/>
      <c r="D46" s="138"/>
      <c r="E46" s="138"/>
      <c r="F46" s="139"/>
      <c r="G46" s="63">
        <v>3257982.0999676804</v>
      </c>
      <c r="H46" s="58" t="s">
        <v>3</v>
      </c>
      <c r="I46" s="1"/>
    </row>
    <row r="47" spans="1:9" x14ac:dyDescent="0.25">
      <c r="A47" s="1"/>
      <c r="B47" s="125" t="s">
        <v>154</v>
      </c>
      <c r="C47" s="126"/>
      <c r="D47" s="126"/>
      <c r="E47" s="126"/>
      <c r="F47" s="127"/>
      <c r="G47" s="57">
        <f>G45*'Fane 15. Nøgletal'!C26+G46*'Fane 15. Nøgletal'!C27</f>
        <v>1076913.6454994089</v>
      </c>
      <c r="H47" s="58" t="s">
        <v>3</v>
      </c>
      <c r="I47" s="1"/>
    </row>
    <row r="48" spans="1:9" x14ac:dyDescent="0.25">
      <c r="A48" s="1"/>
      <c r="B48" s="59"/>
      <c r="C48" s="60"/>
      <c r="D48" s="60"/>
      <c r="E48" s="60"/>
      <c r="F48" s="60"/>
      <c r="G48" s="60"/>
      <c r="H48" s="61"/>
      <c r="I48" s="1"/>
    </row>
    <row r="49" spans="1:9" x14ac:dyDescent="0.25">
      <c r="A49" s="1"/>
      <c r="B49" s="1"/>
      <c r="C49" s="1"/>
      <c r="D49" s="1"/>
      <c r="E49" s="1"/>
      <c r="F49" s="1"/>
      <c r="G49" s="1"/>
      <c r="H49" s="1"/>
      <c r="I49" s="1"/>
    </row>
    <row r="50" spans="1:9" x14ac:dyDescent="0.25">
      <c r="A50" s="1"/>
      <c r="B50" s="131" t="s">
        <v>255</v>
      </c>
      <c r="C50" s="132"/>
      <c r="D50" s="132"/>
      <c r="E50" s="132"/>
      <c r="F50" s="132"/>
      <c r="G50" s="132"/>
      <c r="H50" s="133"/>
      <c r="I50" s="1"/>
    </row>
    <row r="51" spans="1:9" x14ac:dyDescent="0.25">
      <c r="A51" s="1"/>
      <c r="B51" s="125" t="s">
        <v>117</v>
      </c>
      <c r="C51" s="126"/>
      <c r="D51" s="126"/>
      <c r="E51" s="126"/>
      <c r="F51" s="127"/>
      <c r="G51" s="57">
        <f>(G45+G46-G47)*(1+'Fane 15. Nøgletal'!C16)</f>
        <v>81001100.681248829</v>
      </c>
      <c r="H51" s="58" t="s">
        <v>3</v>
      </c>
      <c r="I51" s="1"/>
    </row>
    <row r="52" spans="1:9" x14ac:dyDescent="0.25">
      <c r="A52" s="1"/>
      <c r="B52" s="137" t="s">
        <v>238</v>
      </c>
      <c r="C52" s="138"/>
      <c r="D52" s="138"/>
      <c r="E52" s="138"/>
      <c r="F52" s="139"/>
      <c r="G52" s="63">
        <f>('Fane 2.1. Økonomisk ramme 2024'!C11+'Fane 2.1. Økonomisk ramme 2024'!C13+'Fane 2.1. Økonomisk ramme 2024'!C15)*(1+'Fane 15. Nøgletal'!C16)</f>
        <v>4670225.0278655998</v>
      </c>
      <c r="H52" s="58" t="s">
        <v>3</v>
      </c>
      <c r="I52" s="1"/>
    </row>
    <row r="53" spans="1:9" x14ac:dyDescent="0.25">
      <c r="A53" s="1"/>
      <c r="B53" s="125" t="s">
        <v>118</v>
      </c>
      <c r="C53" s="126"/>
      <c r="D53" s="126"/>
      <c r="E53" s="126"/>
      <c r="F53" s="127"/>
      <c r="G53" s="71">
        <v>0</v>
      </c>
      <c r="H53" s="58" t="s">
        <v>3</v>
      </c>
      <c r="I53" s="1"/>
    </row>
    <row r="54" spans="1:9" x14ac:dyDescent="0.25">
      <c r="A54" s="1"/>
      <c r="B54" s="59"/>
      <c r="C54" s="60"/>
      <c r="D54" s="60"/>
      <c r="E54" s="60"/>
      <c r="F54" s="60"/>
      <c r="G54" s="60"/>
      <c r="H54" s="61"/>
      <c r="I54" s="1"/>
    </row>
    <row r="55" spans="1:9" x14ac:dyDescent="0.25">
      <c r="A55" s="1"/>
      <c r="B55" s="62"/>
      <c r="C55" s="62"/>
      <c r="D55" s="62"/>
      <c r="E55" s="62"/>
      <c r="F55" s="62"/>
      <c r="G55" s="62"/>
      <c r="H55" s="62"/>
      <c r="I55" s="1"/>
    </row>
    <row r="56" spans="1:9" x14ac:dyDescent="0.25">
      <c r="A56" s="1"/>
      <c r="B56" s="128" t="s">
        <v>256</v>
      </c>
      <c r="C56" s="129"/>
      <c r="D56" s="129"/>
      <c r="E56" s="129"/>
      <c r="F56" s="129"/>
      <c r="G56" s="129"/>
      <c r="H56" s="130"/>
      <c r="I56" s="1"/>
    </row>
    <row r="57" spans="1:9" x14ac:dyDescent="0.25">
      <c r="A57" s="1"/>
      <c r="B57" s="125" t="s">
        <v>170</v>
      </c>
      <c r="C57" s="126"/>
      <c r="D57" s="126"/>
      <c r="E57" s="126"/>
      <c r="F57" s="127"/>
      <c r="G57" s="57">
        <f>(G51+G52-G53)*(1+'Fane 15. Nøgletal'!C16)</f>
        <v>92593568.826410875</v>
      </c>
      <c r="H57" s="58" t="s">
        <v>3</v>
      </c>
      <c r="I57" s="1"/>
    </row>
    <row r="58" spans="1:9" x14ac:dyDescent="0.25">
      <c r="A58" s="1"/>
      <c r="B58" s="125" t="s">
        <v>151</v>
      </c>
      <c r="C58" s="126"/>
      <c r="D58" s="126"/>
      <c r="E58" s="126"/>
      <c r="F58" s="127"/>
      <c r="G58" s="71">
        <v>0</v>
      </c>
      <c r="H58" s="58" t="s">
        <v>3</v>
      </c>
      <c r="I58" s="1"/>
    </row>
    <row r="59" spans="1:9" x14ac:dyDescent="0.25">
      <c r="A59" s="1"/>
      <c r="B59" s="59"/>
      <c r="C59" s="60"/>
      <c r="D59" s="60"/>
      <c r="E59" s="60"/>
      <c r="F59" s="60"/>
      <c r="G59" s="60"/>
      <c r="H59" s="61"/>
      <c r="I59" s="1"/>
    </row>
    <row r="60" spans="1:9" x14ac:dyDescent="0.25">
      <c r="A60" s="1"/>
      <c r="B60" s="62"/>
      <c r="C60" s="62"/>
      <c r="D60" s="62"/>
      <c r="E60" s="62"/>
      <c r="F60" s="62"/>
      <c r="G60" s="62"/>
      <c r="H60" s="62"/>
      <c r="I60" s="1"/>
    </row>
    <row r="61" spans="1:9" x14ac:dyDescent="0.25">
      <c r="A61" s="1"/>
      <c r="B61" s="128" t="s">
        <v>169</v>
      </c>
      <c r="C61" s="129"/>
      <c r="D61" s="129"/>
      <c r="E61" s="129"/>
      <c r="F61" s="129"/>
      <c r="G61" s="129"/>
      <c r="H61" s="130"/>
      <c r="I61" s="1"/>
    </row>
    <row r="62" spans="1:9" x14ac:dyDescent="0.25">
      <c r="A62" s="1"/>
      <c r="B62" s="125" t="s">
        <v>232</v>
      </c>
      <c r="C62" s="126"/>
      <c r="D62" s="126"/>
      <c r="E62" s="126"/>
      <c r="F62" s="127"/>
      <c r="G62" s="57">
        <f>(G57-G58)*(1+'Fane 15. Nøgletal'!C16)</f>
        <v>100075129.18758488</v>
      </c>
      <c r="H62" s="58" t="s">
        <v>3</v>
      </c>
      <c r="I62" s="1"/>
    </row>
    <row r="63" spans="1:9" x14ac:dyDescent="0.25">
      <c r="A63" s="1"/>
      <c r="B63" s="125" t="s">
        <v>171</v>
      </c>
      <c r="C63" s="126"/>
      <c r="D63" s="126"/>
      <c r="E63" s="126"/>
      <c r="F63" s="127"/>
      <c r="G63" s="71">
        <v>0</v>
      </c>
      <c r="H63" s="58" t="s">
        <v>3</v>
      </c>
      <c r="I63" s="1"/>
    </row>
    <row r="64" spans="1:9" x14ac:dyDescent="0.25">
      <c r="A64" s="1"/>
      <c r="B64" s="59"/>
      <c r="C64" s="60"/>
      <c r="D64" s="60"/>
      <c r="E64" s="60"/>
      <c r="F64" s="60"/>
      <c r="G64" s="60"/>
      <c r="H64" s="61"/>
      <c r="I64" s="1"/>
    </row>
    <row r="65" spans="1:9" x14ac:dyDescent="0.25">
      <c r="A65" s="1"/>
      <c r="B65" s="62"/>
      <c r="C65" s="62"/>
      <c r="D65" s="62"/>
      <c r="E65" s="62"/>
      <c r="F65" s="62"/>
      <c r="G65" s="62"/>
      <c r="H65" s="62"/>
      <c r="I65" s="1"/>
    </row>
    <row r="66" spans="1:9" x14ac:dyDescent="0.25">
      <c r="A66" s="1"/>
      <c r="B66" s="128" t="s">
        <v>229</v>
      </c>
      <c r="C66" s="129"/>
      <c r="D66" s="129"/>
      <c r="E66" s="129"/>
      <c r="F66" s="129"/>
      <c r="G66" s="129"/>
      <c r="H66" s="130"/>
      <c r="I66" s="1"/>
    </row>
    <row r="67" spans="1:9" x14ac:dyDescent="0.25">
      <c r="A67" s="1"/>
      <c r="B67" s="125" t="s">
        <v>230</v>
      </c>
      <c r="C67" s="126"/>
      <c r="D67" s="126"/>
      <c r="E67" s="126"/>
      <c r="F67" s="127"/>
      <c r="G67" s="57">
        <f>(G62-G63)*(1+'Fane 15. Nøgletal'!C16)</f>
        <v>108161199.62594174</v>
      </c>
      <c r="H67" s="58" t="s">
        <v>3</v>
      </c>
      <c r="I67" s="1"/>
    </row>
    <row r="68" spans="1:9" x14ac:dyDescent="0.25">
      <c r="A68" s="1"/>
      <c r="B68" s="125" t="s">
        <v>231</v>
      </c>
      <c r="C68" s="126"/>
      <c r="D68" s="126"/>
      <c r="E68" s="126"/>
      <c r="F68" s="127"/>
      <c r="G68" s="71">
        <v>0</v>
      </c>
      <c r="H68" s="58" t="s">
        <v>3</v>
      </c>
      <c r="I68" s="1"/>
    </row>
    <row r="69" spans="1:9" x14ac:dyDescent="0.25">
      <c r="A69" s="1"/>
      <c r="B69" s="30"/>
      <c r="C69" s="31"/>
      <c r="D69" s="31"/>
      <c r="E69" s="31"/>
      <c r="F69" s="31"/>
      <c r="G69" s="31"/>
      <c r="H69" s="19"/>
      <c r="I69" s="1"/>
    </row>
    <row r="70" spans="1:9" x14ac:dyDescent="0.25">
      <c r="A70" s="1"/>
      <c r="B70" s="1"/>
      <c r="C70" s="1"/>
      <c r="D70" s="1"/>
      <c r="E70" s="1"/>
      <c r="F70" s="1"/>
      <c r="G70" s="1"/>
      <c r="H70" s="1"/>
      <c r="I70" s="1"/>
    </row>
    <row r="71" spans="1:9" x14ac:dyDescent="0.25">
      <c r="A71" s="1"/>
      <c r="B71" s="1"/>
      <c r="C71" s="1"/>
      <c r="D71" s="1"/>
      <c r="E71" s="1"/>
      <c r="F71" s="1"/>
      <c r="G71" s="1"/>
      <c r="H71" s="1"/>
      <c r="I71" s="1"/>
    </row>
  </sheetData>
  <sheetProtection algorithmName="SHA-512" hashValue="7xWq4ihXh5gdWiJOp0hzol5sS2ip1dB4vSx9mmEeVbDtoiFG81Sxnf0ANosQIog9VnILg6RnbjUf6ieBrNrKXQ==" saltValue="hwJ/xPfKtGzYSl+O+usP3g==" spinCount="100000" sheet="1" objects="1" scenarios="1"/>
  <mergeCells count="45">
    <mergeCell ref="B66:H66"/>
    <mergeCell ref="B67:F67"/>
    <mergeCell ref="B68:F68"/>
    <mergeCell ref="B52:F52"/>
    <mergeCell ref="B56:H56"/>
    <mergeCell ref="B61:H61"/>
    <mergeCell ref="B62:F62"/>
    <mergeCell ref="B63:F63"/>
    <mergeCell ref="B45:F45"/>
    <mergeCell ref="B57:F57"/>
    <mergeCell ref="B58:F58"/>
    <mergeCell ref="B46:F46"/>
    <mergeCell ref="B51:F51"/>
    <mergeCell ref="B53:F53"/>
    <mergeCell ref="B50:H50"/>
    <mergeCell ref="B47:F47"/>
    <mergeCell ref="B24:F24"/>
    <mergeCell ref="B40:F40"/>
    <mergeCell ref="B32:F32"/>
    <mergeCell ref="B33:F33"/>
    <mergeCell ref="B39:F39"/>
    <mergeCell ref="B26:F26"/>
    <mergeCell ref="B27:F27"/>
    <mergeCell ref="B25:F25"/>
    <mergeCell ref="B30:H30"/>
    <mergeCell ref="B31:F31"/>
    <mergeCell ref="B35:F35"/>
    <mergeCell ref="B38:H38"/>
    <mergeCell ref="B34:F34"/>
    <mergeCell ref="B41:F41"/>
    <mergeCell ref="B44:H44"/>
    <mergeCell ref="B2:H3"/>
    <mergeCell ref="B20:F20"/>
    <mergeCell ref="B5:H5"/>
    <mergeCell ref="B6:F6"/>
    <mergeCell ref="B7:F7"/>
    <mergeCell ref="B10:H10"/>
    <mergeCell ref="B12:F12"/>
    <mergeCell ref="B11:F11"/>
    <mergeCell ref="B13:F13"/>
    <mergeCell ref="B14:F14"/>
    <mergeCell ref="B18:F18"/>
    <mergeCell ref="B23:H23"/>
    <mergeCell ref="B17:H17"/>
    <mergeCell ref="B19:F19"/>
  </mergeCells>
  <pageMargins left="0.7" right="0.7" top="0.75" bottom="0.75" header="0.3" footer="0.3"/>
  <pageSetup paperSize="9" orientation="portrait" r:id="rId1"/>
  <headerFooter>
    <oddFooter xml:space="preserve">&amp;C
&amp;R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8"/>
  <sheetViews>
    <sheetView showGridLines="0" view="pageLayout" zoomScale="85" zoomScaleNormal="100" zoomScalePageLayoutView="85" workbookViewId="0"/>
  </sheetViews>
  <sheetFormatPr defaultColWidth="9" defaultRowHeight="15" x14ac:dyDescent="0.25"/>
  <cols>
    <col min="1" max="1" width="7.85546875" style="2" customWidth="1"/>
    <col min="2" max="5" width="9" style="2"/>
    <col min="6" max="6" width="19.140625" style="2" customWidth="1"/>
    <col min="7" max="7" width="10.28515625" style="2" customWidth="1"/>
    <col min="8" max="8" width="7.85546875" style="2" customWidth="1"/>
    <col min="9" max="16384" width="9"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15" t="s">
        <v>72</v>
      </c>
      <c r="C3" s="115"/>
      <c r="D3" s="115"/>
      <c r="E3" s="115"/>
      <c r="F3" s="115"/>
      <c r="G3" s="115"/>
      <c r="H3" s="1"/>
    </row>
    <row r="4" spans="1:8" ht="15" customHeight="1" x14ac:dyDescent="0.25">
      <c r="A4" s="1"/>
      <c r="B4" s="115"/>
      <c r="C4" s="115"/>
      <c r="D4" s="115"/>
      <c r="E4" s="115"/>
      <c r="F4" s="115"/>
      <c r="G4" s="115"/>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31" t="s">
        <v>10</v>
      </c>
      <c r="C8" s="132"/>
      <c r="D8" s="132"/>
      <c r="E8" s="132"/>
      <c r="F8" s="132"/>
      <c r="G8" s="133"/>
      <c r="H8" s="1"/>
    </row>
    <row r="9" spans="1:8" x14ac:dyDescent="0.25">
      <c r="A9" s="1"/>
      <c r="B9" s="144" t="s">
        <v>278</v>
      </c>
      <c r="C9" s="145"/>
      <c r="D9" s="145"/>
      <c r="E9" s="145"/>
      <c r="F9" s="146"/>
      <c r="G9" s="28">
        <v>1.6764864815852151E-2</v>
      </c>
      <c r="H9" s="1"/>
    </row>
    <row r="10" spans="1:8" x14ac:dyDescent="0.25">
      <c r="A10" s="1"/>
      <c r="B10" s="30"/>
      <c r="C10" s="31"/>
      <c r="D10" s="31"/>
      <c r="E10" s="31"/>
      <c r="F10" s="31"/>
      <c r="G10" s="19"/>
      <c r="H10" s="1"/>
    </row>
    <row r="11" spans="1:8" ht="33" customHeight="1" x14ac:dyDescent="0.25">
      <c r="A11" s="1"/>
      <c r="B11" s="141" t="s">
        <v>269</v>
      </c>
      <c r="C11" s="142"/>
      <c r="D11" s="142"/>
      <c r="E11" s="142"/>
      <c r="F11" s="142"/>
      <c r="G11" s="143"/>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sheetData>
  <sheetProtection algorithmName="SHA-512" hashValue="OHi0gieNz6BXJzQC1W+8Xku/NtbnjtMljpPwxBtkYhmbfRRBth6xyj0dCiBcPoJiDS0p0VPjm7Bedoon8aaL7Q==" saltValue="7gF8Ruwgj4WjqIBaWJpXow=="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8</vt:i4>
      </vt:variant>
    </vt:vector>
  </HeadingPairs>
  <TitlesOfParts>
    <vt:vector size="28"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Korrektion af ØR2022</vt:lpstr>
      <vt:lpstr>Fane 10. Anlægsprojekter (§19) </vt:lpstr>
      <vt:lpstr>Fane 11.1. Varige tillæg</vt:lpstr>
      <vt:lpstr>Fane 11.2. Engangstillæg</vt:lpstr>
      <vt:lpstr>Fane 12. Periodevise driftsomk.</vt:lpstr>
      <vt:lpstr>Fane 13. Tilknyttet virksomhed</vt:lpstr>
      <vt:lpstr>Fane 14. Bortfald</vt:lpstr>
      <vt:lpstr>Fane 15. Nøgletal</vt:lpstr>
      <vt:lpstr>Tabel_Fane_13</vt:lpstr>
      <vt:lpstr>Tabel_Fane_14</vt:lpstr>
      <vt:lpstr>Tabel_Fane_2_1</vt:lpstr>
      <vt:lpstr>Tabel_Fane_2_2</vt:lpstr>
      <vt:lpstr>Tabel_Fane_2_3</vt:lpstr>
      <vt:lpstr>Tabel_Fane_2_4</vt:lpstr>
      <vt:lpstr>Tabel_Fane_3</vt:lpstr>
      <vt:lpstr>Tabel_Fane_8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Vera Høyer Moesgaard</cp:lastModifiedBy>
  <cp:lastPrinted>2016-06-14T12:57:30Z</cp:lastPrinted>
  <dcterms:created xsi:type="dcterms:W3CDTF">2016-06-02T08:51:18Z</dcterms:created>
  <dcterms:modified xsi:type="dcterms:W3CDTF">2024-02-09T14:46:23Z</dcterms:modified>
</cp:coreProperties>
</file>