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anderborg Vand AS (V16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<sst xmlns="http://schemas.openxmlformats.org/spreadsheetml/2006/main" count="620" uniqueCount="255">
  <si>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</si>
  <si>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</si>
  <si>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</si>
  <si>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</si>
  <si>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</si>
  <si>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</si>
  <si>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</si>
  <si>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</si>
  <si>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</si>
  <si>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</si>
  <si>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</si>
  <si>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</si>
  <si>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</si>
  <si>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</si>
  <si>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</si>
  <si>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</si>
  <si>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</si>
  <si>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</si>
  <si>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</si>
  <si>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</si>
  <si>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</si>
  <si>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</si>
  <si>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</si>
  <si>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</si>
  <si>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</si>
  <si>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</si>
  <si>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</si>
  <si>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</si>
  <si>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</si>
  <si>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</si>
  <si>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</si>
  <si>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</si>
  <si>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</si>
  <si>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</si>
  <si>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</si>
  <si>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</si>
  <si>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</si>
  <si>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</si>
  <si>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</si>
  <si>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</si>
  <si>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</si>
  <si>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</si>
  <si>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</si>
  <si>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</si>
  <si>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</si>
  <si>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</si>
  <si>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</si>
  <si>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</si>
  <si>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</si>
  <si>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</si>
  <si>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</si>
  <si>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</si>
  <si>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</si>
  <si>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</si>
  <si>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</si>
  <si>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</si>
  <si>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</si>
  <si>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</si>
  <si>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</si>
  <si>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</si>
  <si>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</si>
  <si>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</si>
  <si>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</si>
  <si>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</si>
  <si>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</si>
  <si>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</si>
  <si>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</si>
  <si>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</si>
  <si>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</si>
  <si>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</si>
  <si>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</si>
  <si>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</si>
  <si>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</si>
  <si>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</si>
  <si>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</si>
  <si>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</si>
  <si>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</si>
  <si>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</si>
  <si>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</si>
  <si>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</si>
  <si>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</si>
  <si>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</si>
  <si>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</si>
  <si>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</si>
  <si>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</si>
  <si>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</si>
  <si>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</si>
  <si>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</si>
  <si>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</si>
  <si>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</si>
  <si>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</si>
  <si>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</si>
  <si>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</si>
  <si>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</si>
  <si>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</si>
  <si>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</si>
  <si>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</si>
  <si>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</si>
  <si>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</si>
  <si>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</si>
  <si>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</si>
  <si>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</si>
  <si>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</si>
  <si>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</si>
  <si>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</si>
  <si>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</si>
  <si>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</si>
  <si>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</si>
  <si>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</si>
  <si>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</si>
  <si>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</si>
  <si>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</si>
  <si>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</si>
  <si>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</si>
  <si>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</si>
  <si>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</si>
  <si>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</si>
  <si>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</si>
  <si>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</si>
  <si>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</si>
  <si>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</si>
  <si>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</si>
  <si>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</si>
  <si>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</si>
  <si>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</si>
  <si>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</si>
  <si>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</si>
  <si>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</si>
  <si>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</si>
  <si>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</si>
  <si>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</si>
  <si>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</si>
  <si>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</si>
  <si>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</si>
  <si>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</si>
  <si>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</si>
  <si>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</si>
  <si>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</si>
  <si>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</si>
  <si>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</si>
  <si>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</si>
  <si>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</si>
  <si>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</si>
  <si>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</si>
  <si>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</si>
  <si>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</si>
  <si>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</si>
  <si>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</si>
  <si>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</si>
  <si>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</si>
  <si>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</si>
  <si>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</si>
  <si>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</si>
  <si>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</si>
  <si>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</si>
  <si>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</si>
  <si>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</si>
  <si>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</si>
  <si>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</si>
  <si>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</si>
  <si>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</si>
  <si>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</si>
  <si>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</si>
  <si>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</si>
  <si>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</si>
  <si>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</si>
  <si>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</si>
  <si>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</si>
  <si>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</si>
  <si>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</si>
  <si>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</si>
  <si>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</si>
  <si>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</si>
  <si>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</si>
  <si>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</si>
  <si>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</si>
  <si>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</si>
  <si>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</si>
  <si>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</si>
  <si>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</si>
  <si>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</si>
  <si>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</si>
  <si>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</si>
  <si>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</si>
  <si>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</si>
  <si>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</si>
  <si>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</si>
  <si>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</si>
  <si>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</si>
  <si>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</si>
  <si>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</si>
  <si>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</si>
  <si>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</si>
  <si>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</si>
  <si>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</si>
  <si>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</si>
  <si>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</si>
  <si>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</si>
  <si>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</si>
  <si>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</si>
  <si>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</si>
  <si>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</si>
  <si>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</si>
  <si>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</si>
  <si>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</si>
  <si>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</si>
  <si>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</si>
  <si>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</si>
  <si>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</si>
  <si>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</si>
  <si>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</si>
  <si>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</si>
  <si>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</si>
  <si>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</si>
  <si>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</si>
  <si>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</si>
  <si>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</si>
  <si>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</si>
  <si>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</si>
  <si>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</si>
  <si>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</si>
  <si>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</si>
  <si>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</si>
  <si>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</si>
  <si>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</si>
  <si>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</si>
  <si>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</si>
  <si>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</si>
  <si>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</si>
  <si>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</si>
  <si>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</si>
  <si>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</si>
  <si>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</si>
  <si>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</si>
  <si>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</si>
  <si>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</si>
  <si>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</si>
  <si>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</si>
  <si>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</si>
  <si>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</si>
  <si>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</si>
  <si>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</si>
  <si>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</si>
  <si>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</si>
  <si>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</si>
  <si>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Påbud om Dyrehaveværket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</si>
  <si>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</si>
  <si>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</si>
  <si>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</si>
  <si>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</si>
  <si>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</si>
  <si>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Udvidelser</t>
  </si>
  <si>
    <t>Ingen engangstillæg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</si>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</sst>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5" t="s">
        <v>4</v>
      </c>
      <c r="E6" s="75"/>
      <c r="F6" s="75"/>
      <c r="G6" s="75"/>
      <c r="H6" s="3"/>
      <c r="I6" s="1"/>
    </row>
    <row r="7" spans="1:9" ht="15" customHeight="1" x14ac:dyDescent="0.25">
      <c r="A7" s="1"/>
      <c r="B7" s="1"/>
      <c r="C7" s="3"/>
      <c r="D7" s="75"/>
      <c r="E7" s="75"/>
      <c r="F7" s="75"/>
      <c r="G7" s="75"/>
      <c r="H7" s="3"/>
      <c r="I7" s="1"/>
    </row>
    <row r="8" spans="1:9" ht="15.75" x14ac:dyDescent="0.25">
      <c r="A8" s="1"/>
      <c r="B8" s="1"/>
      <c r="C8" s="4"/>
      <c r="D8" s="80" t="s">
        <v>254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2" t="s">
        <v>163</v>
      </c>
      <c r="E13" s="73"/>
      <c r="F13" s="73"/>
      <c r="G13" s="74"/>
      <c r="H13" s="1"/>
      <c r="I13" s="1"/>
    </row>
    <row r="14" spans="1:9" x14ac:dyDescent="0.25">
      <c r="A14" s="1"/>
      <c r="B14" s="1"/>
      <c r="C14" s="6" t="s">
        <v>15</v>
      </c>
      <c r="D14" s="72" t="s">
        <v>83</v>
      </c>
      <c r="E14" s="73"/>
      <c r="F14" s="73"/>
      <c r="G14" s="74"/>
      <c r="H14" s="1"/>
      <c r="I14" s="1"/>
    </row>
    <row r="15" spans="1:9" x14ac:dyDescent="0.25">
      <c r="A15" s="1"/>
      <c r="B15" s="1"/>
      <c r="C15" s="6" t="s">
        <v>35</v>
      </c>
      <c r="D15" s="72" t="s">
        <v>128</v>
      </c>
      <c r="E15" s="73"/>
      <c r="F15" s="73"/>
      <c r="G15" s="74"/>
      <c r="H15" s="1"/>
      <c r="I15" s="1"/>
    </row>
    <row r="16" spans="1:9" x14ac:dyDescent="0.25">
      <c r="A16" s="1"/>
      <c r="B16" s="1"/>
      <c r="C16" s="6" t="s">
        <v>36</v>
      </c>
      <c r="D16" s="72" t="s">
        <v>180</v>
      </c>
      <c r="E16" s="73"/>
      <c r="F16" s="73"/>
      <c r="G16" s="74"/>
      <c r="H16" s="1"/>
      <c r="I16" s="1"/>
    </row>
    <row r="17" spans="1:9" x14ac:dyDescent="0.25">
      <c r="A17" s="1"/>
      <c r="B17" s="1"/>
      <c r="C17" s="6" t="s">
        <v>127</v>
      </c>
      <c r="D17" s="72" t="s">
        <v>181</v>
      </c>
      <c r="E17" s="73"/>
      <c r="F17" s="73"/>
      <c r="G17" s="74"/>
      <c r="H17" s="1"/>
      <c r="I17" s="1"/>
    </row>
    <row r="18" spans="1:9" x14ac:dyDescent="0.25">
      <c r="A18" s="1"/>
      <c r="B18" s="1"/>
      <c r="C18" s="32" t="s">
        <v>111</v>
      </c>
      <c r="D18" s="81" t="s">
        <v>100</v>
      </c>
      <c r="E18" s="82"/>
      <c r="F18" s="82"/>
      <c r="G18" s="83"/>
      <c r="H18" s="1"/>
      <c r="I18" s="1"/>
    </row>
    <row r="19" spans="1:9" x14ac:dyDescent="0.25">
      <c r="A19" s="1"/>
      <c r="B19" s="1"/>
      <c r="C19" s="32" t="s">
        <v>112</v>
      </c>
      <c r="D19" s="81" t="s">
        <v>101</v>
      </c>
      <c r="E19" s="82"/>
      <c r="F19" s="82"/>
      <c r="G19" s="83"/>
      <c r="H19" s="1"/>
      <c r="I19" s="1"/>
    </row>
    <row r="20" spans="1:9" x14ac:dyDescent="0.25">
      <c r="A20" s="1"/>
      <c r="B20" s="1"/>
      <c r="C20" s="32" t="s">
        <v>7</v>
      </c>
      <c r="D20" s="81" t="s">
        <v>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113</v>
      </c>
      <c r="D21" s="87" t="s">
        <v>12</v>
      </c>
      <c r="E21" s="88"/>
      <c r="F21" s="88"/>
      <c r="G21" s="89"/>
      <c r="H21" s="1"/>
      <c r="I21" s="1"/>
    </row>
    <row r="22" spans="1:9" x14ac:dyDescent="0.25">
      <c r="A22" s="1"/>
      <c r="B22" s="1"/>
      <c r="C22" s="6" t="s">
        <v>87</v>
      </c>
      <c r="D22" s="76" t="s">
        <v>182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37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170</v>
      </c>
      <c r="D24" s="76" t="s">
        <v>88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171</v>
      </c>
      <c r="D25" s="76" t="s">
        <v>89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172</v>
      </c>
      <c r="D26" s="76" t="s">
        <v>129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114</v>
      </c>
      <c r="D27" s="76" t="s">
        <v>38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108</v>
      </c>
      <c r="D28" s="84" t="s">
        <v>109</v>
      </c>
      <c r="E28" s="85"/>
      <c r="F28" s="85"/>
      <c r="G28" s="8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fHNDAaUcpbphTBctoVFtWTE63Y+NiGCwyVHIAb8qF3HHutqdYobPhAXirr90xUNnpA/CfDwKtrXMHRtRYnoxg==" saltValue="M3evGQ6hM760IS9XS43KkQ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0" t="s">
        <v>117</v>
      </c>
      <c r="C3" s="90"/>
      <c r="D3" s="90"/>
      <c r="E3" s="1"/>
      <c r="F3" s="1"/>
    </row>
    <row r="4" spans="1:6" ht="15" customHeight="1" x14ac:dyDescent="0.25">
      <c r="A4" s="1"/>
      <c r="B4" s="90"/>
      <c r="C4" s="90"/>
      <c r="D4" s="9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6" t="s">
        <v>202</v>
      </c>
      <c r="C8" s="117"/>
      <c r="D8" s="118"/>
      <c r="E8" s="1"/>
      <c r="F8" s="1"/>
    </row>
    <row r="9" spans="1:6" ht="15" customHeight="1" x14ac:dyDescent="0.25">
      <c r="A9" s="1"/>
      <c r="B9" s="53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4" t="s">
        <v>227</v>
      </c>
      <c r="C10" s="9">
        <v>6518397</v>
      </c>
      <c r="D10" s="14" t="s">
        <v>3</v>
      </c>
      <c r="E10" s="1"/>
      <c r="F10" s="1"/>
    </row>
    <row r="11" spans="1:6" ht="15" customHeight="1" x14ac:dyDescent="0.25">
      <c r="A11" s="1"/>
      <c r="B11" s="64" t="s">
        <v>228</v>
      </c>
      <c r="C11" s="9">
        <v>58177</v>
      </c>
      <c r="D11" s="14" t="s">
        <v>3</v>
      </c>
      <c r="E11" s="1"/>
      <c r="F11" s="1"/>
    </row>
    <row r="12" spans="1:6" ht="15" customHeight="1" x14ac:dyDescent="0.25">
      <c r="A12" s="1"/>
      <c r="B12" s="64" t="s">
        <v>229</v>
      </c>
      <c r="C12" s="9">
        <v>37869</v>
      </c>
      <c r="D12" s="14" t="s">
        <v>3</v>
      </c>
      <c r="E12" s="1"/>
      <c r="F12" s="1"/>
    </row>
    <row r="13" spans="1:6" x14ac:dyDescent="0.25">
      <c r="A13" s="1"/>
      <c r="B13" s="64" t="s">
        <v>230</v>
      </c>
      <c r="C13" s="9">
        <v>13111</v>
      </c>
      <c r="D13" s="14" t="s">
        <v>3</v>
      </c>
      <c r="E13" s="1"/>
      <c r="F13" s="1"/>
    </row>
    <row r="14" spans="1:6" x14ac:dyDescent="0.25">
      <c r="A14" s="1"/>
      <c r="B14" s="56" t="s">
        <v>204</v>
      </c>
      <c r="C14" s="12">
        <f>SUM(C10:C13)</f>
        <v>6627554</v>
      </c>
      <c r="D14" s="13" t="s">
        <v>3</v>
      </c>
      <c r="E14" s="1"/>
      <c r="F14" s="1"/>
    </row>
    <row r="15" spans="1:6" x14ac:dyDescent="0.25">
      <c r="A15" s="1"/>
      <c r="B15" s="56" t="s">
        <v>205</v>
      </c>
      <c r="C15" s="12">
        <f>C14*(1+'Fane 12. Nøgletal'!C14)^2</f>
        <v>6671368.0304630613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f3qdrwror+YPs5v8kXGDPCekjjHpG/D/6zzn3Dv2BTiJBJKLvd0BZBUDXTt/OIwb0MErvxMIR6uqz7XFLDYEYQ==" saltValue="9X/UVtqNjpYmB08xM7fk6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8" width="9.85546875" style="2" bestFit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ht="29.25" customHeight="1" x14ac:dyDescent="0.25">
      <c r="A3" s="1"/>
      <c r="B3" s="109" t="s">
        <v>220</v>
      </c>
      <c r="C3" s="109"/>
      <c r="D3" s="109"/>
      <c r="E3" s="109"/>
      <c r="F3" s="109"/>
      <c r="G3" s="1"/>
    </row>
    <row r="4" spans="1:8" ht="15" customHeight="1" x14ac:dyDescent="0.25">
      <c r="A4" s="1"/>
      <c r="B4" s="109"/>
      <c r="C4" s="109"/>
      <c r="D4" s="109"/>
      <c r="E4" s="109"/>
      <c r="F4" s="109"/>
      <c r="G4" s="1"/>
    </row>
    <row r="5" spans="1:8" ht="15" customHeight="1" x14ac:dyDescent="0.25">
      <c r="A5" s="1"/>
      <c r="B5" s="51"/>
      <c r="C5" s="51"/>
      <c r="D5" s="51"/>
      <c r="E5" s="51"/>
      <c r="F5" s="51"/>
      <c r="G5" s="1"/>
    </row>
    <row r="6" spans="1:8" ht="15" customHeight="1" x14ac:dyDescent="0.25">
      <c r="A6" s="1"/>
      <c r="B6" s="51"/>
      <c r="C6" s="51"/>
      <c r="D6" s="51"/>
      <c r="E6" s="51"/>
      <c r="F6" s="51"/>
      <c r="G6" s="1"/>
    </row>
    <row r="7" spans="1:8" x14ac:dyDescent="0.25">
      <c r="A7" s="1"/>
      <c r="B7" s="1"/>
      <c r="C7" s="1"/>
      <c r="D7" s="1"/>
      <c r="E7" s="1"/>
      <c r="F7" s="1"/>
      <c r="G7" s="1"/>
    </row>
    <row r="8" spans="1:8" x14ac:dyDescent="0.25">
      <c r="A8" s="1"/>
      <c r="B8" s="116" t="s">
        <v>232</v>
      </c>
      <c r="C8" s="117"/>
      <c r="D8" s="117"/>
      <c r="E8" s="117"/>
      <c r="F8" s="118"/>
      <c r="G8" s="1"/>
    </row>
    <row r="9" spans="1:8" x14ac:dyDescent="0.25">
      <c r="A9" s="1"/>
      <c r="B9" s="113" t="s">
        <v>233</v>
      </c>
      <c r="C9" s="114"/>
      <c r="D9" s="115"/>
      <c r="E9" s="9">
        <v>16893.313522584736</v>
      </c>
      <c r="F9" s="14" t="s">
        <v>3</v>
      </c>
      <c r="G9" s="1"/>
    </row>
    <row r="10" spans="1:8" x14ac:dyDescent="0.25">
      <c r="A10" s="1"/>
      <c r="B10" s="113" t="s">
        <v>234</v>
      </c>
      <c r="C10" s="114"/>
      <c r="D10" s="115"/>
      <c r="E10" s="9">
        <v>-568723.12270585448</v>
      </c>
      <c r="F10" s="14" t="s">
        <v>3</v>
      </c>
      <c r="G10" s="1"/>
    </row>
    <row r="11" spans="1:8" x14ac:dyDescent="0.25">
      <c r="A11" s="1"/>
      <c r="B11" s="113" t="s">
        <v>235</v>
      </c>
      <c r="C11" s="114"/>
      <c r="D11" s="115"/>
      <c r="E11" s="9">
        <v>-872371.47870150208</v>
      </c>
      <c r="F11" s="14" t="s">
        <v>3</v>
      </c>
      <c r="G11" s="1"/>
    </row>
    <row r="12" spans="1:8" x14ac:dyDescent="0.25">
      <c r="A12" s="1"/>
      <c r="B12" s="113" t="s">
        <v>236</v>
      </c>
      <c r="C12" s="114"/>
      <c r="D12" s="115"/>
      <c r="E12" s="9">
        <f>IF(OR(AND(E10&gt;0,E11&lt;0),AND(E11&lt;0,E34&gt;0)),E17+E18,E11)</f>
        <v>-872371.47870150208</v>
      </c>
      <c r="F12" s="14" t="s">
        <v>3</v>
      </c>
      <c r="G12" s="1"/>
      <c r="H12" s="46"/>
    </row>
    <row r="13" spans="1:8" x14ac:dyDescent="0.25">
      <c r="A13" s="1"/>
      <c r="B13" s="56"/>
      <c r="C13" s="57"/>
      <c r="D13" s="57"/>
      <c r="E13" s="57"/>
      <c r="F13" s="20"/>
      <c r="G13" s="1"/>
    </row>
    <row r="14" spans="1:8" ht="54.75" customHeight="1" x14ac:dyDescent="0.25">
      <c r="A14" s="1"/>
      <c r="B14" s="92" t="s">
        <v>237</v>
      </c>
      <c r="C14" s="93"/>
      <c r="D14" s="93"/>
      <c r="E14" s="93"/>
      <c r="F14" s="94"/>
      <c r="G14" s="1"/>
    </row>
    <row r="15" spans="1:8" ht="27" customHeight="1" x14ac:dyDescent="0.25">
      <c r="A15" s="1"/>
      <c r="B15" s="1"/>
      <c r="C15" s="1"/>
      <c r="D15" s="1"/>
      <c r="E15" s="1"/>
      <c r="F15" s="1"/>
      <c r="G15" s="1"/>
    </row>
    <row r="16" spans="1:8" x14ac:dyDescent="0.25">
      <c r="A16" s="1"/>
      <c r="B16" s="116" t="s">
        <v>238</v>
      </c>
      <c r="C16" s="117"/>
      <c r="D16" s="117"/>
      <c r="E16" s="117"/>
      <c r="F16" s="118"/>
      <c r="G16" s="1"/>
    </row>
    <row r="17" spans="1:7" x14ac:dyDescent="0.25">
      <c r="A17" s="1"/>
      <c r="B17" s="113" t="s">
        <v>239</v>
      </c>
      <c r="C17" s="114"/>
      <c r="D17" s="115"/>
      <c r="E17" s="9">
        <v>-712100.40459163487</v>
      </c>
      <c r="F17" s="14" t="s">
        <v>3</v>
      </c>
      <c r="G17" s="1"/>
    </row>
    <row r="18" spans="1:7" x14ac:dyDescent="0.25">
      <c r="A18" s="1"/>
      <c r="B18" s="113" t="s">
        <v>240</v>
      </c>
      <c r="C18" s="114"/>
      <c r="D18" s="115"/>
      <c r="E18" s="9">
        <v>-712100.40459163487</v>
      </c>
      <c r="F18" s="14" t="s">
        <v>3</v>
      </c>
      <c r="G18" s="1"/>
    </row>
    <row r="19" spans="1:7" x14ac:dyDescent="0.25">
      <c r="A19" s="1"/>
      <c r="B19" s="56"/>
      <c r="C19" s="57"/>
      <c r="D19" s="57"/>
      <c r="E19" s="57"/>
      <c r="F19" s="20"/>
      <c r="G19" s="1"/>
    </row>
    <row r="20" spans="1:7" ht="30" customHeight="1" x14ac:dyDescent="0.25">
      <c r="A20" s="1"/>
      <c r="B20" s="92" t="s">
        <v>241</v>
      </c>
      <c r="C20" s="93"/>
      <c r="D20" s="93"/>
      <c r="E20" s="93"/>
      <c r="F20" s="94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8" t="s">
        <v>206</v>
      </c>
      <c r="C22" s="59"/>
      <c r="D22" s="59"/>
      <c r="E22" s="59"/>
      <c r="F22" s="60"/>
      <c r="G22" s="1"/>
    </row>
    <row r="23" spans="1:7" x14ac:dyDescent="0.25">
      <c r="A23" s="1"/>
      <c r="B23" s="61" t="s">
        <v>207</v>
      </c>
      <c r="C23" s="62"/>
      <c r="D23" s="63"/>
      <c r="E23" s="9">
        <v>19190818.890774686</v>
      </c>
      <c r="F23" s="14" t="s">
        <v>3</v>
      </c>
      <c r="G23" s="1"/>
    </row>
    <row r="24" spans="1:7" x14ac:dyDescent="0.25">
      <c r="A24" s="1"/>
      <c r="B24" s="61" t="s">
        <v>208</v>
      </c>
      <c r="C24" s="62"/>
      <c r="D24" s="63"/>
      <c r="E24" s="9">
        <v>19608728</v>
      </c>
      <c r="F24" s="14" t="s">
        <v>3</v>
      </c>
      <c r="G24" s="1"/>
    </row>
    <row r="25" spans="1:7" x14ac:dyDescent="0.25">
      <c r="A25" s="1"/>
      <c r="B25" s="61" t="s">
        <v>34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65" t="s">
        <v>249</v>
      </c>
      <c r="C26" s="66"/>
      <c r="D26" s="67"/>
      <c r="E26" s="45">
        <f>E23-(E24-E25)</f>
        <v>-417909.10922531411</v>
      </c>
      <c r="F26" s="17" t="s">
        <v>3</v>
      </c>
      <c r="G26" s="1"/>
    </row>
    <row r="27" spans="1:7" x14ac:dyDescent="0.25">
      <c r="A27" s="1"/>
      <c r="B27" s="56"/>
      <c r="C27" s="57"/>
      <c r="D27" s="57"/>
      <c r="E27" s="57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6" t="s">
        <v>242</v>
      </c>
      <c r="C29" s="117"/>
      <c r="D29" s="117"/>
      <c r="E29" s="117"/>
      <c r="F29" s="118"/>
      <c r="G29" s="1"/>
    </row>
    <row r="30" spans="1:7" x14ac:dyDescent="0.25">
      <c r="A30" s="1"/>
      <c r="B30" s="137" t="s">
        <v>243</v>
      </c>
      <c r="C30" s="138"/>
      <c r="D30" s="139"/>
      <c r="E30" s="47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-712100.40459163487</v>
      </c>
      <c r="F30" s="17" t="s">
        <v>3</v>
      </c>
      <c r="G30" s="1"/>
    </row>
    <row r="31" spans="1:7" x14ac:dyDescent="0.25">
      <c r="A31" s="1"/>
      <c r="B31" s="116"/>
      <c r="C31" s="117"/>
      <c r="D31" s="117"/>
      <c r="E31" s="117"/>
      <c r="F31" s="118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6" t="s">
        <v>244</v>
      </c>
      <c r="C33" s="117"/>
      <c r="D33" s="117"/>
      <c r="E33" s="117"/>
      <c r="F33" s="118"/>
      <c r="G33" s="1"/>
    </row>
    <row r="34" spans="1:7" x14ac:dyDescent="0.25">
      <c r="A34" s="1"/>
      <c r="B34" s="131" t="s">
        <v>250</v>
      </c>
      <c r="C34" s="132"/>
      <c r="D34" s="133"/>
      <c r="E34" s="9">
        <v>0</v>
      </c>
      <c r="F34" s="14"/>
      <c r="G34" s="1"/>
    </row>
    <row r="35" spans="1:7" x14ac:dyDescent="0.25">
      <c r="A35" s="1"/>
      <c r="B35" s="131" t="s">
        <v>161</v>
      </c>
      <c r="C35" s="132"/>
      <c r="D35" s="133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-417909.10922531411</v>
      </c>
      <c r="F35" s="14" t="s">
        <v>3</v>
      </c>
      <c r="G35" s="1"/>
    </row>
    <row r="36" spans="1:7" x14ac:dyDescent="0.25">
      <c r="A36" s="1"/>
      <c r="B36" s="131" t="s">
        <v>110</v>
      </c>
      <c r="C36" s="132"/>
      <c r="D36" s="133"/>
      <c r="E36" s="9">
        <v>4</v>
      </c>
      <c r="F36" s="14" t="s">
        <v>19</v>
      </c>
      <c r="G36" s="1"/>
    </row>
    <row r="37" spans="1:7" x14ac:dyDescent="0.25">
      <c r="A37" s="1"/>
      <c r="B37" s="140" t="s">
        <v>160</v>
      </c>
      <c r="C37" s="140"/>
      <c r="D37" s="140"/>
      <c r="E37" s="10">
        <f>E35/E36</f>
        <v>-104477.27730632853</v>
      </c>
      <c r="F37" s="17" t="s">
        <v>3</v>
      </c>
      <c r="G37" s="1"/>
    </row>
    <row r="38" spans="1:7" x14ac:dyDescent="0.25">
      <c r="A38" s="1"/>
      <c r="B38" s="134"/>
      <c r="C38" s="135"/>
      <c r="D38" s="135"/>
      <c r="E38" s="135"/>
      <c r="F38" s="136"/>
      <c r="G38" s="1"/>
    </row>
    <row r="39" spans="1:7" ht="75" customHeight="1" x14ac:dyDescent="0.25">
      <c r="A39" s="1"/>
      <c r="B39" s="92" t="s">
        <v>248</v>
      </c>
      <c r="C39" s="93"/>
      <c r="D39" s="93"/>
      <c r="E39" s="93"/>
      <c r="F39" s="94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FqAFOy1wcYeAFRWT553ajH6h8eXvkIhku/DAS4FuWnnUnH9ev6famnjykWN/giG9limxf2joX6mDtaqT9e1Gg==" saltValue="Mlpl43qOHfUOwb54D1hU9g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169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157</v>
      </c>
      <c r="C8" s="117"/>
      <c r="D8" s="117"/>
      <c r="E8" s="117"/>
      <c r="F8" s="117"/>
      <c r="G8" s="117"/>
      <c r="H8" s="11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0"/>
      <c r="I9" s="1"/>
    </row>
    <row r="10" spans="1:9" x14ac:dyDescent="0.25">
      <c r="A10" s="1"/>
      <c r="B10" s="69" t="s">
        <v>253</v>
      </c>
      <c r="C10" s="70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6" t="s">
        <v>158</v>
      </c>
      <c r="C11" s="117"/>
      <c r="D11" s="11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pri5p7t3+MWbQ5V/GzfX0o7n6ukDqQLN1htRw1A1MvLArAJ1j1xhX3iAlnfokr2ui+G/Tz7f0UXZFPzxGrbLwA==" saltValue="zwwD9gO9tZO070n4wYjup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84</v>
      </c>
      <c r="C8" s="57"/>
      <c r="D8" s="57"/>
      <c r="E8" s="57"/>
      <c r="F8" s="20"/>
      <c r="G8" s="1"/>
    </row>
    <row r="9" spans="1:7" ht="17.25" customHeight="1" x14ac:dyDescent="0.25">
      <c r="A9" s="1"/>
      <c r="B9" s="54" t="s">
        <v>16</v>
      </c>
      <c r="C9" s="54" t="s">
        <v>11</v>
      </c>
      <c r="D9" s="55"/>
      <c r="E9" s="54" t="s">
        <v>32</v>
      </c>
      <c r="F9" s="50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251</v>
      </c>
      <c r="C11" s="22">
        <v>121033</v>
      </c>
      <c r="D11" s="14" t="s">
        <v>3</v>
      </c>
      <c r="E11" s="9">
        <v>36847</v>
      </c>
      <c r="F11" s="14" t="s">
        <v>3</v>
      </c>
      <c r="G11" s="1"/>
    </row>
    <row r="12" spans="1:7" x14ac:dyDescent="0.25">
      <c r="A12" s="1"/>
      <c r="B12" s="56" t="s">
        <v>136</v>
      </c>
      <c r="C12" s="12">
        <f>SUM(C10:C11)</f>
        <v>121033</v>
      </c>
      <c r="D12" s="13" t="s">
        <v>3</v>
      </c>
      <c r="E12" s="12">
        <f>SUM(E10:E11)</f>
        <v>36847</v>
      </c>
      <c r="F12" s="13" t="s">
        <v>3</v>
      </c>
      <c r="G12" s="1"/>
    </row>
    <row r="13" spans="1:7" x14ac:dyDescent="0.25">
      <c r="A13" s="1"/>
      <c r="B13" s="56" t="s">
        <v>209</v>
      </c>
      <c r="C13" s="12">
        <f>C12*(1+'Fane 12. Nøgletal'!C14)</f>
        <v>121432.40890000001</v>
      </c>
      <c r="D13" s="13" t="s">
        <v>3</v>
      </c>
      <c r="E13" s="12">
        <f>E12*(1+'Fane 12. Nøgletal'!C14)</f>
        <v>36968.595100000006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7xmqcdLwOxusA7zZGXdvqMFVKD6cFNZCYXg6TUaV1qiFT4nxSYYysii+xX5dezVs5MDE5oHQ/lZ0Zkd9S0vWA==" saltValue="jVJVtE08Sa19r/jsc4jsx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102</v>
      </c>
      <c r="C8" s="117"/>
      <c r="D8" s="117"/>
      <c r="E8" s="117"/>
      <c r="F8" s="118"/>
      <c r="G8" s="1"/>
    </row>
    <row r="9" spans="1:7" x14ac:dyDescent="0.25">
      <c r="A9" s="1"/>
      <c r="B9" s="54" t="s">
        <v>16</v>
      </c>
      <c r="C9" s="54" t="s">
        <v>11</v>
      </c>
      <c r="D9" s="55"/>
      <c r="E9" s="54" t="s">
        <v>32</v>
      </c>
      <c r="F9" s="50"/>
      <c r="G9" s="1"/>
    </row>
    <row r="10" spans="1:7" x14ac:dyDescent="0.25">
      <c r="A10" s="1"/>
      <c r="B10" s="25" t="s">
        <v>245</v>
      </c>
      <c r="C10" s="22">
        <v>204203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6" t="s">
        <v>210</v>
      </c>
      <c r="C11" s="12">
        <f>SUM(C10:C10)</f>
        <v>204203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-2239.7733175355743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-4084.06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6" t="s">
        <v>137</v>
      </c>
      <c r="C14" s="12">
        <f>SUM(C11:C13)*(1+'Fane 12. Nøgletal'!C14)^2</f>
        <v>199187.32408669387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6" t="s">
        <v>103</v>
      </c>
      <c r="C16" s="117"/>
      <c r="D16" s="117"/>
      <c r="E16" s="117"/>
      <c r="F16" s="118"/>
      <c r="G16" s="1"/>
    </row>
    <row r="17" spans="1:7" x14ac:dyDescent="0.25">
      <c r="A17" s="1"/>
      <c r="B17" s="54" t="s">
        <v>16</v>
      </c>
      <c r="C17" s="54" t="s">
        <v>11</v>
      </c>
      <c r="D17" s="55"/>
      <c r="E17" s="54" t="s">
        <v>32</v>
      </c>
      <c r="F17" s="50"/>
      <c r="G17" s="1"/>
    </row>
    <row r="18" spans="1:7" x14ac:dyDescent="0.25">
      <c r="A18" s="1"/>
      <c r="B18" s="25" t="s">
        <v>252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6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6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6" t="s">
        <v>138</v>
      </c>
      <c r="C24" s="117"/>
      <c r="D24" s="117"/>
      <c r="E24" s="117"/>
      <c r="F24" s="118"/>
      <c r="G24" s="1"/>
    </row>
    <row r="25" spans="1:7" x14ac:dyDescent="0.25">
      <c r="A25" s="1"/>
      <c r="B25" s="54" t="s">
        <v>16</v>
      </c>
      <c r="C25" s="54" t="s">
        <v>11</v>
      </c>
      <c r="D25" s="55"/>
      <c r="E25" s="54" t="s">
        <v>32</v>
      </c>
      <c r="F25" s="50"/>
      <c r="G25" s="1"/>
    </row>
    <row r="26" spans="1:7" x14ac:dyDescent="0.25">
      <c r="A26" s="1"/>
      <c r="B26" s="25" t="s">
        <v>252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6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6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6" t="s">
        <v>211</v>
      </c>
      <c r="C32" s="117"/>
      <c r="D32" s="117"/>
      <c r="E32" s="117"/>
      <c r="F32" s="118"/>
      <c r="G32" s="1"/>
    </row>
    <row r="33" spans="1:7" x14ac:dyDescent="0.25">
      <c r="A33" s="1"/>
      <c r="B33" s="54" t="s">
        <v>16</v>
      </c>
      <c r="C33" s="54" t="s">
        <v>11</v>
      </c>
      <c r="D33" s="55"/>
      <c r="E33" s="54" t="s">
        <v>32</v>
      </c>
      <c r="F33" s="50"/>
      <c r="G33" s="1"/>
    </row>
    <row r="34" spans="1:7" x14ac:dyDescent="0.25">
      <c r="A34" s="1"/>
      <c r="B34" s="25" t="s">
        <v>252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6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6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meqQ4eALxZyvztJEcYCfcGta3aFdWw+Fv+LquDfcd5V3fmewezpTPMDu90/FKQWsry1ScvLo2UXOhDclGUrqQ==" saltValue="3TJhnckc+v5yHghRj3+q8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166</v>
      </c>
      <c r="C3" s="109"/>
      <c r="D3" s="109"/>
      <c r="E3" s="109"/>
      <c r="F3" s="109"/>
      <c r="G3" s="1"/>
    </row>
    <row r="4" spans="1:7" ht="25.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130</v>
      </c>
      <c r="C8" s="117"/>
      <c r="D8" s="117"/>
      <c r="E8" s="117"/>
      <c r="F8" s="118"/>
      <c r="G8" s="1"/>
    </row>
    <row r="9" spans="1:7" ht="15" customHeight="1" x14ac:dyDescent="0.25">
      <c r="A9" s="1"/>
      <c r="B9" s="49" t="s">
        <v>131</v>
      </c>
      <c r="C9" s="101" t="s">
        <v>11</v>
      </c>
      <c r="D9" s="103"/>
      <c r="E9" s="101" t="s">
        <v>32</v>
      </c>
      <c r="F9" s="103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zGoexoXRQRdUXOTFqW458qY/XBToT3ARVzMIEmNFCwZJGZRWCGy1gB9Yh7ee9DnuFY+bdUOUaU01wCypfflqfw==" saltValue="Vym/8P9aoiGC5Zm6Z9qer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165</v>
      </c>
      <c r="C3" s="109"/>
      <c r="D3" s="109"/>
      <c r="E3" s="109"/>
      <c r="F3" s="109"/>
      <c r="G3" s="1"/>
    </row>
    <row r="4" spans="1:7" ht="25.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98</v>
      </c>
      <c r="C8" s="117"/>
      <c r="D8" s="117"/>
      <c r="E8" s="117"/>
      <c r="F8" s="118"/>
      <c r="G8" s="1"/>
    </row>
    <row r="9" spans="1:7" ht="15" customHeight="1" x14ac:dyDescent="0.25">
      <c r="A9" s="1"/>
      <c r="B9" s="49" t="s">
        <v>17</v>
      </c>
      <c r="C9" s="49" t="s">
        <v>11</v>
      </c>
      <c r="D9" s="50"/>
      <c r="E9" s="49" t="s">
        <v>32</v>
      </c>
      <c r="F9" s="50"/>
      <c r="G9" s="1"/>
    </row>
    <row r="10" spans="1:7" x14ac:dyDescent="0.25">
      <c r="A10" s="1"/>
      <c r="B10" s="25" t="s">
        <v>231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6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6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6" t="s">
        <v>99</v>
      </c>
      <c r="C15" s="117"/>
      <c r="D15" s="117"/>
      <c r="E15" s="117"/>
      <c r="F15" s="118"/>
      <c r="G15" s="1"/>
    </row>
    <row r="16" spans="1:7" ht="26.25" x14ac:dyDescent="0.25">
      <c r="A16" s="1"/>
      <c r="B16" s="49" t="s">
        <v>17</v>
      </c>
      <c r="C16" s="49" t="s">
        <v>11</v>
      </c>
      <c r="D16" s="50"/>
      <c r="E16" s="49" t="s">
        <v>32</v>
      </c>
      <c r="F16" s="50"/>
      <c r="G16" s="1"/>
    </row>
    <row r="17" spans="1:7" x14ac:dyDescent="0.25">
      <c r="A17" s="1"/>
      <c r="B17" s="25" t="s">
        <v>231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6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6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6" t="s">
        <v>142</v>
      </c>
      <c r="C22" s="117"/>
      <c r="D22" s="117"/>
      <c r="E22" s="117"/>
      <c r="F22" s="118"/>
      <c r="G22" s="1"/>
    </row>
    <row r="23" spans="1:7" ht="26.25" x14ac:dyDescent="0.25">
      <c r="A23" s="1"/>
      <c r="B23" s="49" t="s">
        <v>17</v>
      </c>
      <c r="C23" s="49" t="s">
        <v>11</v>
      </c>
      <c r="D23" s="50"/>
      <c r="E23" s="49" t="s">
        <v>32</v>
      </c>
      <c r="F23" s="50"/>
      <c r="G23" s="1"/>
    </row>
    <row r="24" spans="1:7" x14ac:dyDescent="0.25">
      <c r="A24" s="1"/>
      <c r="B24" s="25" t="s">
        <v>231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6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6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6" t="s">
        <v>214</v>
      </c>
      <c r="C29" s="117"/>
      <c r="D29" s="117"/>
      <c r="E29" s="117"/>
      <c r="F29" s="118"/>
      <c r="G29" s="1"/>
    </row>
    <row r="30" spans="1:7" ht="26.25" x14ac:dyDescent="0.25">
      <c r="A30" s="1"/>
      <c r="B30" s="49" t="s">
        <v>17</v>
      </c>
      <c r="C30" s="49" t="s">
        <v>11</v>
      </c>
      <c r="D30" s="50"/>
      <c r="E30" s="49" t="s">
        <v>32</v>
      </c>
      <c r="F30" s="50"/>
      <c r="G30" s="1"/>
    </row>
    <row r="31" spans="1:7" x14ac:dyDescent="0.25">
      <c r="A31" s="1"/>
      <c r="B31" s="25" t="s">
        <v>231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6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6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4Ct8a0dZOcErjdwxr550FFPI9Zw8OhT6Q9DKWRdWSDZqKyNvKuX145cj50LoxjOQNUiaFALHiuX61LffR9sNQ==" saltValue="iqF6hNYM94nNtalUASIUI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9" t="s">
        <v>164</v>
      </c>
      <c r="C3" s="109"/>
      <c r="D3" s="1"/>
    </row>
    <row r="4" spans="1:4" ht="25.5" customHeight="1" x14ac:dyDescent="0.25">
      <c r="A4" s="1"/>
      <c r="B4" s="109"/>
      <c r="C4" s="10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6" t="s">
        <v>14</v>
      </c>
      <c r="C8" s="20"/>
      <c r="D8" s="1"/>
    </row>
    <row r="9" spans="1:4" x14ac:dyDescent="0.25">
      <c r="A9" s="1"/>
      <c r="B9" s="64" t="s">
        <v>118</v>
      </c>
      <c r="C9" s="26">
        <v>1.2699999999999999E-2</v>
      </c>
      <c r="D9" s="1"/>
    </row>
    <row r="10" spans="1:4" x14ac:dyDescent="0.25">
      <c r="A10" s="1"/>
      <c r="B10" s="64" t="s">
        <v>22</v>
      </c>
      <c r="C10" s="26">
        <v>1.7500000000000002E-2</v>
      </c>
      <c r="D10" s="1"/>
    </row>
    <row r="11" spans="1:4" x14ac:dyDescent="0.25">
      <c r="A11" s="1"/>
      <c r="B11" s="64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1">
        <v>3.3E-3</v>
      </c>
      <c r="D14" s="1"/>
    </row>
    <row r="15" spans="1:4" x14ac:dyDescent="0.25">
      <c r="A15" s="1"/>
      <c r="B15" s="116"/>
      <c r="C15" s="118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6" t="s">
        <v>106</v>
      </c>
      <c r="C18" s="20"/>
      <c r="D18" s="1"/>
    </row>
    <row r="19" spans="1:4" x14ac:dyDescent="0.25">
      <c r="A19" s="1"/>
      <c r="B19" s="64" t="s">
        <v>120</v>
      </c>
      <c r="C19" s="23">
        <v>9.1000000000000004E-3</v>
      </c>
      <c r="D19" s="1"/>
    </row>
    <row r="20" spans="1:4" x14ac:dyDescent="0.25">
      <c r="A20" s="1"/>
      <c r="B20" s="64" t="s">
        <v>121</v>
      </c>
      <c r="C20" s="23">
        <v>1.77E-2</v>
      </c>
      <c r="D20" s="1"/>
    </row>
    <row r="21" spans="1:4" x14ac:dyDescent="0.25">
      <c r="A21" s="1"/>
      <c r="B21" s="64" t="s">
        <v>122</v>
      </c>
      <c r="C21" s="23">
        <v>8.6999999999999994E-3</v>
      </c>
      <c r="D21" s="1"/>
    </row>
    <row r="22" spans="1:4" x14ac:dyDescent="0.25">
      <c r="A22" s="1"/>
      <c r="B22" s="64" t="s">
        <v>123</v>
      </c>
      <c r="C22" s="35">
        <v>2.8400000000000002E-2</v>
      </c>
      <c r="D22" s="1"/>
    </row>
    <row r="23" spans="1:4" x14ac:dyDescent="0.25">
      <c r="A23" s="1"/>
      <c r="B23" s="64" t="s">
        <v>146</v>
      </c>
      <c r="C23" s="35">
        <v>2.75E-2</v>
      </c>
      <c r="D23" s="1"/>
    </row>
    <row r="24" spans="1:4" x14ac:dyDescent="0.25">
      <c r="A24" s="1"/>
      <c r="B24" s="64" t="s">
        <v>217</v>
      </c>
      <c r="C24" s="35">
        <v>1.4800000000000001E-2</v>
      </c>
      <c r="D24" s="1"/>
    </row>
    <row r="25" spans="1:4" x14ac:dyDescent="0.25">
      <c r="A25" s="1"/>
      <c r="B25" s="56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6" t="s">
        <v>107</v>
      </c>
      <c r="C28" s="20"/>
      <c r="D28" s="1"/>
    </row>
    <row r="29" spans="1:4" x14ac:dyDescent="0.25">
      <c r="A29" s="1"/>
      <c r="B29" s="64" t="s">
        <v>124</v>
      </c>
      <c r="C29" s="26">
        <v>0.02</v>
      </c>
      <c r="D29" s="1"/>
    </row>
    <row r="30" spans="1:4" x14ac:dyDescent="0.25">
      <c r="A30" s="1"/>
      <c r="B30" s="56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ZnXnVvcEjLqjvQUMAbRy7FCw8K208Igwo7TmkPbKY+oeSe+ytlHtZQ2DUtweYpJ+svZ26Y04uWIWbGUVZQTW6g==" saltValue="PhDakUVHZV4jYO0aUVwCW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183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6" t="s">
        <v>13</v>
      </c>
      <c r="C8" s="57"/>
      <c r="D8" s="20"/>
      <c r="E8" s="1"/>
    </row>
    <row r="9" spans="1:5" x14ac:dyDescent="0.25">
      <c r="A9" s="1"/>
      <c r="B9" s="52" t="s">
        <v>24</v>
      </c>
      <c r="C9" s="7">
        <f>'Fane 3. Omkostninger i ØR2021'!E20</f>
        <v>12694003.480740223</v>
      </c>
      <c r="D9" s="8" t="s">
        <v>3</v>
      </c>
      <c r="E9" s="1"/>
    </row>
    <row r="10" spans="1:5" x14ac:dyDescent="0.25">
      <c r="A10" s="1"/>
      <c r="B10" s="48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689034.12183941191</v>
      </c>
      <c r="D10" s="8" t="s">
        <v>3</v>
      </c>
      <c r="E10" s="1"/>
    </row>
    <row r="11" spans="1:5" x14ac:dyDescent="0.25">
      <c r="A11" s="1"/>
      <c r="B11" s="48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274110.18480670871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121432.40890000001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36968.595100000006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155389.56577823072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-142674.25079136557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-129355.84257710203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-191142.41798418606</v>
      </c>
      <c r="D21" s="8" t="s">
        <v>3</v>
      </c>
      <c r="E21" s="1"/>
    </row>
    <row r="22" spans="1:5" ht="17.100000000000001" customHeight="1" x14ac:dyDescent="0.25">
      <c r="A22" s="1"/>
      <c r="B22" s="65" t="s">
        <v>20</v>
      </c>
      <c r="C22" s="10">
        <f>SUM(C9,C12:C21)</f>
        <v>12544621.539165802</v>
      </c>
      <c r="D22" s="11" t="s">
        <v>3</v>
      </c>
      <c r="E22" s="1"/>
    </row>
    <row r="23" spans="1:5" ht="15" customHeight="1" x14ac:dyDescent="0.25">
      <c r="A23" s="1"/>
      <c r="B23" s="56" t="s">
        <v>12</v>
      </c>
      <c r="C23" s="57"/>
      <c r="D23" s="20"/>
      <c r="E23" s="1"/>
    </row>
    <row r="24" spans="1:5" ht="15" customHeight="1" x14ac:dyDescent="0.25">
      <c r="A24" s="1"/>
      <c r="B24" s="49" t="s">
        <v>12</v>
      </c>
      <c r="C24" s="10">
        <f>'Fane 6. Ikke-påvirkelige omk.'!C15</f>
        <v>6671368.0304630613</v>
      </c>
      <c r="D24" s="11" t="s">
        <v>3</v>
      </c>
      <c r="E24" s="1"/>
    </row>
    <row r="25" spans="1:5" ht="15" customHeight="1" x14ac:dyDescent="0.25">
      <c r="A25" s="1"/>
      <c r="B25" s="56" t="s">
        <v>89</v>
      </c>
      <c r="C25" s="57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199187.32408669387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5" t="s">
        <v>90</v>
      </c>
      <c r="C28" s="10">
        <f>SUM(C26:C27)</f>
        <v>199187.32408669387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7"/>
      <c r="D29" s="20"/>
      <c r="E29" s="1"/>
    </row>
    <row r="30" spans="1:5" x14ac:dyDescent="0.25">
      <c r="A30" s="1"/>
      <c r="B30" s="68" t="s">
        <v>162</v>
      </c>
      <c r="C30" s="10">
        <f>'Fane 7. Kontrol af ØR2020'!E30</f>
        <v>-712100.40459163487</v>
      </c>
      <c r="D30" s="11" t="s">
        <v>3</v>
      </c>
      <c r="E30" s="1"/>
    </row>
    <row r="31" spans="1:5" x14ac:dyDescent="0.25">
      <c r="A31" s="1"/>
      <c r="B31" s="36" t="s">
        <v>224</v>
      </c>
      <c r="C31" s="57"/>
      <c r="D31" s="20"/>
      <c r="E31" s="1"/>
    </row>
    <row r="32" spans="1:5" x14ac:dyDescent="0.25">
      <c r="A32" s="1"/>
      <c r="B32" s="68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6" t="s">
        <v>30</v>
      </c>
      <c r="C33" s="31">
        <f>SUM(C22,C24,C28,C30,C32)</f>
        <v>18703076.489123922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X8c+PsFpTlJD0VHGjEAMAWBSJeqaV23dDPoYG4qmZSGj65PsIsx+T2TSAH4fv+npe0qcNVvcMC85hS8PC4+XFQ==" saltValue="KV0aCm9QiontcH5Fr44tD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184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6" t="s">
        <v>13</v>
      </c>
      <c r="C8" s="57"/>
      <c r="D8" s="20"/>
      <c r="E8" s="1"/>
    </row>
    <row r="9" spans="1:5" ht="15" customHeight="1" x14ac:dyDescent="0.25">
      <c r="A9" s="1"/>
      <c r="B9" s="52" t="s">
        <v>134</v>
      </c>
      <c r="C9" s="7">
        <f>'Fane 2.1. Økonomisk ramme 2022'!C22</f>
        <v>12544621.539165802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8" t="s">
        <v>18</v>
      </c>
      <c r="C12" s="9">
        <f>SUM(C9:C11)*'Fane 12. Nøgletal'!C14</f>
        <v>41397.251079247144</v>
      </c>
      <c r="D12" s="8" t="s">
        <v>3</v>
      </c>
      <c r="E12" s="1"/>
    </row>
    <row r="13" spans="1:5" ht="15" customHeight="1" x14ac:dyDescent="0.25">
      <c r="A13" s="1"/>
      <c r="B13" s="48" t="s">
        <v>9</v>
      </c>
      <c r="C13" s="9">
        <f>-SUM(C9:C12)*'Fane 5. Individuelt eff. krav'!G10</f>
        <v>-138048.06521154061</v>
      </c>
      <c r="D13" s="8" t="s">
        <v>3</v>
      </c>
      <c r="E13" s="1"/>
    </row>
    <row r="14" spans="1:5" ht="15" customHeight="1" x14ac:dyDescent="0.25">
      <c r="A14" s="1"/>
      <c r="B14" s="48" t="s">
        <v>25</v>
      </c>
      <c r="C14" s="9">
        <f>-'Fane 4.1. Gen. krav - drift'!G44</f>
        <v>-127187.06252045435</v>
      </c>
      <c r="D14" s="8" t="s">
        <v>3</v>
      </c>
      <c r="E14" s="1"/>
    </row>
    <row r="15" spans="1:5" ht="15" customHeight="1" x14ac:dyDescent="0.25">
      <c r="A15" s="1"/>
      <c r="B15" s="48" t="s">
        <v>26</v>
      </c>
      <c r="C15" s="9">
        <f>-'Fane 4.2. Gen. krav - anlæg'!G44</f>
        <v>-100624.94720136987</v>
      </c>
      <c r="D15" s="8" t="s">
        <v>3</v>
      </c>
      <c r="E15" s="1"/>
    </row>
    <row r="16" spans="1:5" ht="15" customHeight="1" x14ac:dyDescent="0.25">
      <c r="A16" s="1"/>
      <c r="B16" s="53" t="s">
        <v>20</v>
      </c>
      <c r="C16" s="10">
        <f>SUM(C9:C15)</f>
        <v>12220158.715311686</v>
      </c>
      <c r="D16" s="11" t="s">
        <v>3</v>
      </c>
      <c r="E16" s="1"/>
    </row>
    <row r="17" spans="1:5" x14ac:dyDescent="0.25">
      <c r="A17" s="1"/>
      <c r="B17" s="56" t="s">
        <v>12</v>
      </c>
      <c r="C17" s="57"/>
      <c r="D17" s="20"/>
      <c r="E17" s="1"/>
    </row>
    <row r="18" spans="1:5" ht="15" customHeight="1" x14ac:dyDescent="0.25">
      <c r="A18" s="1"/>
      <c r="B18" s="49" t="s">
        <v>12</v>
      </c>
      <c r="C18" s="10">
        <f>'Fane 6. Ikke-påvirkelige omk.'!C15*(1+'Fane 12. Nøgletal'!C14)</f>
        <v>6693383.5449635899</v>
      </c>
      <c r="D18" s="11" t="s">
        <v>3</v>
      </c>
      <c r="E18" s="1"/>
    </row>
    <row r="19" spans="1:5" ht="15" customHeight="1" x14ac:dyDescent="0.25">
      <c r="A19" s="1"/>
      <c r="B19" s="56" t="s">
        <v>89</v>
      </c>
      <c r="C19" s="57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5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7"/>
      <c r="D23" s="20"/>
      <c r="E23" s="1"/>
    </row>
    <row r="24" spans="1:5" ht="15" customHeight="1" x14ac:dyDescent="0.25">
      <c r="A24" s="1"/>
      <c r="B24" s="68" t="s">
        <v>162</v>
      </c>
      <c r="C24" s="10">
        <f>'Fane 7. Kontrol af ØR2020'!E37</f>
        <v>-104477.27730632853</v>
      </c>
      <c r="D24" s="11" t="s">
        <v>3</v>
      </c>
      <c r="E24" s="1"/>
    </row>
    <row r="25" spans="1:5" x14ac:dyDescent="0.25">
      <c r="A25" s="1"/>
      <c r="B25" s="36" t="s">
        <v>224</v>
      </c>
      <c r="C25" s="57"/>
      <c r="D25" s="20"/>
      <c r="E25" s="1"/>
    </row>
    <row r="26" spans="1:5" x14ac:dyDescent="0.25">
      <c r="A26" s="1"/>
      <c r="B26" s="68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6" t="s">
        <v>97</v>
      </c>
      <c r="C27" s="12">
        <f>SUM(C16,C18,C22,C24,C26)</f>
        <v>18809064.982968945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TYqwCUaKbbLhhcPN8oetaH68YpFyAtO5sOs7m01Uk42bX4egWf+guS610ZwLZdrSrWG0j3O5+egbGAk4/H6FTg==" saltValue="YUtoIHdneSABzrOR0rdI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185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6" t="s">
        <v>13</v>
      </c>
      <c r="C7" s="57"/>
      <c r="D7" s="20"/>
      <c r="E7" s="1"/>
    </row>
    <row r="8" spans="1:5" ht="15" customHeight="1" x14ac:dyDescent="0.25">
      <c r="A8" s="1"/>
      <c r="B8" s="52" t="s">
        <v>135</v>
      </c>
      <c r="C8" s="7">
        <f>'Fane 2.2. Økonomisk ramme 2023'!C16</f>
        <v>12220158.715311686</v>
      </c>
      <c r="D8" s="8" t="s">
        <v>3</v>
      </c>
      <c r="E8" s="1"/>
    </row>
    <row r="9" spans="1:5" ht="15" customHeight="1" x14ac:dyDescent="0.25">
      <c r="A9" s="1"/>
      <c r="B9" s="52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2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8" t="s">
        <v>18</v>
      </c>
      <c r="C11" s="9">
        <f>SUM(C8:C10)*'Fane 12. Nøgletal'!C14</f>
        <v>40326.523760528566</v>
      </c>
      <c r="D11" s="8" t="s">
        <v>3</v>
      </c>
      <c r="E11" s="1"/>
    </row>
    <row r="12" spans="1:5" ht="15" customHeight="1" x14ac:dyDescent="0.25">
      <c r="A12" s="1"/>
      <c r="B12" s="48" t="s">
        <v>9</v>
      </c>
      <c r="C12" s="9">
        <f>-SUM(C8:C11)*'Fane 5. Individuelt eff. krav'!G10</f>
        <v>-134477.49395705602</v>
      </c>
      <c r="D12" s="8" t="s">
        <v>3</v>
      </c>
      <c r="E12" s="1"/>
    </row>
    <row r="13" spans="1:5" ht="15" customHeight="1" x14ac:dyDescent="0.25">
      <c r="A13" s="1"/>
      <c r="B13" s="48" t="s">
        <v>25</v>
      </c>
      <c r="C13" s="9">
        <f>-'Fane 4.1. Gen. krav - drift'!G50</f>
        <v>-125054.64423023642</v>
      </c>
      <c r="D13" s="8" t="s">
        <v>3</v>
      </c>
      <c r="E13" s="1"/>
    </row>
    <row r="14" spans="1:5" ht="15" customHeight="1" x14ac:dyDescent="0.25">
      <c r="A14" s="1"/>
      <c r="B14" s="48" t="s">
        <v>26</v>
      </c>
      <c r="C14" s="43">
        <f>-'Fane 4.2. Gen. krav - anlæg'!G50</f>
        <v>-99462.845786132792</v>
      </c>
      <c r="D14" s="8" t="s">
        <v>3</v>
      </c>
      <c r="E14" s="1"/>
    </row>
    <row r="15" spans="1:5" x14ac:dyDescent="0.25">
      <c r="A15" s="1"/>
      <c r="B15" s="53" t="s">
        <v>20</v>
      </c>
      <c r="C15" s="10">
        <f>SUM(C8:C14)</f>
        <v>11901490.25509879</v>
      </c>
      <c r="D15" s="11" t="s">
        <v>3</v>
      </c>
      <c r="E15" s="1"/>
    </row>
    <row r="16" spans="1:5" x14ac:dyDescent="0.25">
      <c r="A16" s="1"/>
      <c r="B16" s="56" t="s">
        <v>12</v>
      </c>
      <c r="C16" s="57"/>
      <c r="D16" s="20"/>
      <c r="E16" s="1"/>
    </row>
    <row r="17" spans="1:5" ht="15" customHeight="1" x14ac:dyDescent="0.25">
      <c r="A17" s="1"/>
      <c r="B17" s="49" t="s">
        <v>12</v>
      </c>
      <c r="C17" s="10">
        <f>'Fane 6. Ikke-påvirkelige omk.'!C15*(1+'Fane 12. Nøgletal'!C14)^2</f>
        <v>6715471.7106619701</v>
      </c>
      <c r="D17" s="11" t="s">
        <v>3</v>
      </c>
      <c r="E17" s="1"/>
    </row>
    <row r="18" spans="1:5" ht="15" customHeight="1" x14ac:dyDescent="0.25">
      <c r="A18" s="1"/>
      <c r="B18" s="56" t="s">
        <v>89</v>
      </c>
      <c r="C18" s="57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6" t="s">
        <v>161</v>
      </c>
      <c r="C22" s="57"/>
      <c r="D22" s="20"/>
      <c r="E22" s="1"/>
    </row>
    <row r="23" spans="1:5" x14ac:dyDescent="0.25">
      <c r="A23" s="1"/>
      <c r="B23" s="49" t="s">
        <v>162</v>
      </c>
      <c r="C23" s="10">
        <f>'Fane 7. Kontrol af ØR2020'!E37</f>
        <v>-104477.27730632853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7"/>
      <c r="D24" s="20"/>
      <c r="E24" s="1"/>
    </row>
    <row r="25" spans="1:5" ht="15" customHeight="1" x14ac:dyDescent="0.25">
      <c r="A25" s="1"/>
      <c r="B25" s="68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6" t="s">
        <v>186</v>
      </c>
      <c r="C26" s="12">
        <f>SUM(C15,C17,C21,C23,C25)</f>
        <v>18512484.688454431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qaHlPo7vgpW9/OTz8QseTGhaSO4Gkdh+5IopXFjGSWrI3ZgH1ic439VMWOMGpS0Hpj4cPZyzfpkPilRCWBPIWw==" saltValue="cbww1tXFtMEn9njyKHGb+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187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6" t="s">
        <v>13</v>
      </c>
      <c r="C7" s="57"/>
      <c r="D7" s="20"/>
      <c r="E7" s="1"/>
    </row>
    <row r="8" spans="1:5" ht="15" customHeight="1" x14ac:dyDescent="0.25">
      <c r="A8" s="1"/>
      <c r="B8" s="52" t="s">
        <v>188</v>
      </c>
      <c r="C8" s="7">
        <f>'Fane 2.3. Økonomisk ramme 2024'!C15</f>
        <v>11901490.25509879</v>
      </c>
      <c r="D8" s="8" t="s">
        <v>3</v>
      </c>
      <c r="E8" s="1"/>
    </row>
    <row r="9" spans="1:5" ht="15" customHeight="1" x14ac:dyDescent="0.25">
      <c r="A9" s="1"/>
      <c r="B9" s="52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2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8" t="s">
        <v>18</v>
      </c>
      <c r="C11" s="9">
        <f>SUM(C8:C10)*'Fane 12. Nøgletal'!C14</f>
        <v>39274.917841826005</v>
      </c>
      <c r="D11" s="8" t="s">
        <v>3</v>
      </c>
      <c r="E11" s="1"/>
    </row>
    <row r="12" spans="1:5" ht="15" customHeight="1" x14ac:dyDescent="0.25">
      <c r="A12" s="1"/>
      <c r="B12" s="48" t="s">
        <v>9</v>
      </c>
      <c r="C12" s="9">
        <f>-SUM(C8:C11)*'Fane 5. Individuelt eff. krav'!G10</f>
        <v>-130970.68713638118</v>
      </c>
      <c r="D12" s="8" t="s">
        <v>3</v>
      </c>
      <c r="E12" s="1"/>
    </row>
    <row r="13" spans="1:5" ht="15" customHeight="1" x14ac:dyDescent="0.25">
      <c r="A13" s="1"/>
      <c r="B13" s="48" t="s">
        <v>25</v>
      </c>
      <c r="C13" s="9">
        <f>-'Fane 4.1. Gen. krav - drift'!G56</f>
        <v>-122957.97806507228</v>
      </c>
      <c r="D13" s="8" t="s">
        <v>3</v>
      </c>
      <c r="E13" s="1"/>
    </row>
    <row r="14" spans="1:5" ht="15" customHeight="1" x14ac:dyDescent="0.25">
      <c r="A14" s="1"/>
      <c r="B14" s="48" t="s">
        <v>26</v>
      </c>
      <c r="C14" s="9">
        <f>-'Fane 4.2. Gen. krav - anlæg'!G56</f>
        <v>-98314.165294204082</v>
      </c>
      <c r="D14" s="8" t="s">
        <v>3</v>
      </c>
      <c r="E14" s="1"/>
    </row>
    <row r="15" spans="1:5" x14ac:dyDescent="0.25">
      <c r="A15" s="1"/>
      <c r="B15" s="53" t="s">
        <v>20</v>
      </c>
      <c r="C15" s="10">
        <f>SUM(C8:C14)</f>
        <v>11588522.342444958</v>
      </c>
      <c r="D15" s="11" t="s">
        <v>3</v>
      </c>
      <c r="E15" s="1"/>
    </row>
    <row r="16" spans="1:5" x14ac:dyDescent="0.25">
      <c r="A16" s="1"/>
      <c r="B16" s="56" t="s">
        <v>12</v>
      </c>
      <c r="C16" s="57"/>
      <c r="D16" s="20"/>
      <c r="E16" s="1"/>
    </row>
    <row r="17" spans="1:5" ht="15" customHeight="1" x14ac:dyDescent="0.25">
      <c r="A17" s="1"/>
      <c r="B17" s="49" t="s">
        <v>12</v>
      </c>
      <c r="C17" s="10">
        <f>'Fane 6. Ikke-påvirkelige omk.'!C15*(1+'Fane 12. Nøgletal'!C14)^3</f>
        <v>6737632.7673071558</v>
      </c>
      <c r="D17" s="11" t="s">
        <v>3</v>
      </c>
      <c r="E17" s="1"/>
    </row>
    <row r="18" spans="1:5" ht="15" customHeight="1" x14ac:dyDescent="0.25">
      <c r="A18" s="1"/>
      <c r="B18" s="56" t="s">
        <v>89</v>
      </c>
      <c r="C18" s="57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5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6" t="s">
        <v>161</v>
      </c>
      <c r="C22" s="57"/>
      <c r="D22" s="20"/>
      <c r="E22" s="1"/>
    </row>
    <row r="23" spans="1:5" x14ac:dyDescent="0.25">
      <c r="A23" s="1"/>
      <c r="B23" s="49" t="s">
        <v>162</v>
      </c>
      <c r="C23" s="10">
        <f>'Fane 7. Kontrol af ØR2020'!E37</f>
        <v>-104477.27730632853</v>
      </c>
      <c r="D23" s="11" t="s">
        <v>3</v>
      </c>
      <c r="E23" s="1"/>
    </row>
    <row r="24" spans="1:5" x14ac:dyDescent="0.25">
      <c r="A24" s="1"/>
      <c r="B24" s="36" t="s">
        <v>224</v>
      </c>
      <c r="C24" s="57"/>
      <c r="D24" s="20"/>
      <c r="E24" s="1"/>
    </row>
    <row r="25" spans="1:5" x14ac:dyDescent="0.25">
      <c r="A25" s="1"/>
      <c r="B25" s="68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6" t="s">
        <v>189</v>
      </c>
      <c r="C26" s="12">
        <f>SUM(C15,C17,C21,C23,C25)</f>
        <v>18221677.832445785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eL760VXOV5RETTlYCm6KDi7O3QHJ/YUIvOcjAMOjyojmKXD71GSZ0DKpijeU7Ix/umju7l7EqhMBXToFLjX3EQ==" saltValue="thr7F/XeRVTnDELkQppo2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190</v>
      </c>
      <c r="C3" s="109"/>
      <c r="D3" s="109"/>
      <c r="E3" s="109"/>
      <c r="F3" s="109"/>
      <c r="G3" s="1"/>
    </row>
    <row r="4" spans="1:7" ht="29.2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223</v>
      </c>
      <c r="C8" s="57"/>
      <c r="D8" s="57"/>
      <c r="E8" s="57"/>
      <c r="F8" s="20"/>
      <c r="G8" s="1"/>
    </row>
    <row r="9" spans="1:7" x14ac:dyDescent="0.25">
      <c r="A9" s="1"/>
      <c r="B9" s="110" t="s">
        <v>23</v>
      </c>
      <c r="C9" s="111"/>
      <c r="D9" s="112"/>
      <c r="E9" s="7">
        <v>12017175.023646833</v>
      </c>
      <c r="F9" s="8" t="s">
        <v>3</v>
      </c>
      <c r="G9" s="1"/>
    </row>
    <row r="10" spans="1:7" ht="15" customHeight="1" x14ac:dyDescent="0.25">
      <c r="A10" s="1"/>
      <c r="B10" s="95" t="s">
        <v>40</v>
      </c>
      <c r="C10" s="96"/>
      <c r="D10" s="97"/>
      <c r="E10" s="9">
        <v>702484.0074</v>
      </c>
      <c r="F10" s="8" t="s">
        <v>3</v>
      </c>
      <c r="G10" s="1"/>
    </row>
    <row r="11" spans="1:7" ht="15" customHeight="1" x14ac:dyDescent="0.25">
      <c r="A11" s="1"/>
      <c r="B11" s="95" t="s">
        <v>41</v>
      </c>
      <c r="C11" s="96"/>
      <c r="D11" s="97"/>
      <c r="E11" s="9">
        <v>281640.60119999998</v>
      </c>
      <c r="F11" s="8" t="s">
        <v>3</v>
      </c>
      <c r="G11" s="1"/>
    </row>
    <row r="12" spans="1:7" x14ac:dyDescent="0.25">
      <c r="A12" s="1"/>
      <c r="B12" s="95" t="s">
        <v>28</v>
      </c>
      <c r="C12" s="96"/>
      <c r="D12" s="97"/>
      <c r="E12" s="9">
        <v>0</v>
      </c>
      <c r="F12" s="8" t="s">
        <v>3</v>
      </c>
      <c r="G12" s="1"/>
    </row>
    <row r="13" spans="1:7" x14ac:dyDescent="0.25">
      <c r="A13" s="1"/>
      <c r="B13" s="95" t="s">
        <v>27</v>
      </c>
      <c r="C13" s="96"/>
      <c r="D13" s="97"/>
      <c r="E13" s="9">
        <v>0</v>
      </c>
      <c r="F13" s="8" t="s">
        <v>3</v>
      </c>
      <c r="G13" s="1"/>
    </row>
    <row r="14" spans="1:7" x14ac:dyDescent="0.25">
      <c r="A14" s="1"/>
      <c r="B14" s="95" t="s">
        <v>132</v>
      </c>
      <c r="C14" s="96"/>
      <c r="D14" s="97"/>
      <c r="E14" s="9">
        <v>0</v>
      </c>
      <c r="F14" s="8" t="s">
        <v>3</v>
      </c>
      <c r="G14" s="1"/>
    </row>
    <row r="15" spans="1:7" x14ac:dyDescent="0.25">
      <c r="A15" s="1"/>
      <c r="B15" s="95" t="s">
        <v>133</v>
      </c>
      <c r="C15" s="96"/>
      <c r="D15" s="97"/>
      <c r="E15" s="9">
        <v>0</v>
      </c>
      <c r="F15" s="8" t="s">
        <v>3</v>
      </c>
      <c r="G15" s="1"/>
    </row>
    <row r="16" spans="1:7" x14ac:dyDescent="0.25">
      <c r="A16" s="1"/>
      <c r="B16" s="95" t="s">
        <v>18</v>
      </c>
      <c r="C16" s="96"/>
      <c r="D16" s="97"/>
      <c r="E16" s="9">
        <v>158615.85551341137</v>
      </c>
      <c r="F16" s="8" t="s">
        <v>3</v>
      </c>
      <c r="G16" s="1"/>
    </row>
    <row r="17" spans="1:7" x14ac:dyDescent="0.25">
      <c r="A17" s="1"/>
      <c r="B17" s="95" t="s">
        <v>9</v>
      </c>
      <c r="C17" s="96"/>
      <c r="D17" s="97"/>
      <c r="E17" s="9">
        <v>-144342.77444752792</v>
      </c>
      <c r="F17" s="8" t="s">
        <v>3</v>
      </c>
      <c r="G17" s="1"/>
    </row>
    <row r="18" spans="1:7" x14ac:dyDescent="0.25">
      <c r="A18" s="1"/>
      <c r="B18" s="95" t="s">
        <v>25</v>
      </c>
      <c r="C18" s="96"/>
      <c r="D18" s="97"/>
      <c r="E18" s="9">
        <v>-127948.3967636817</v>
      </c>
      <c r="F18" s="8" t="s">
        <v>3</v>
      </c>
      <c r="G18" s="1"/>
    </row>
    <row r="19" spans="1:7" x14ac:dyDescent="0.25">
      <c r="A19" s="1"/>
      <c r="B19" s="95" t="s">
        <v>26</v>
      </c>
      <c r="C19" s="96"/>
      <c r="D19" s="97"/>
      <c r="E19" s="9">
        <v>-193620.83580881008</v>
      </c>
      <c r="F19" s="8" t="s">
        <v>3</v>
      </c>
      <c r="G19" s="1"/>
    </row>
    <row r="20" spans="1:7" x14ac:dyDescent="0.25">
      <c r="A20" s="1"/>
      <c r="B20" s="98" t="s">
        <v>20</v>
      </c>
      <c r="C20" s="99"/>
      <c r="D20" s="100"/>
      <c r="E20" s="10">
        <f>SUM(E9:E19)</f>
        <v>12694003.480740223</v>
      </c>
      <c r="F20" s="11" t="s">
        <v>3</v>
      </c>
      <c r="G20" s="1"/>
    </row>
    <row r="21" spans="1:7" x14ac:dyDescent="0.25">
      <c r="A21" s="1"/>
      <c r="B21" s="56" t="s">
        <v>12</v>
      </c>
      <c r="C21" s="57"/>
      <c r="D21" s="57"/>
      <c r="E21" s="57"/>
      <c r="F21" s="20"/>
      <c r="G21" s="1"/>
    </row>
    <row r="22" spans="1:7" x14ac:dyDescent="0.25">
      <c r="A22" s="1"/>
      <c r="B22" s="106" t="s">
        <v>12</v>
      </c>
      <c r="C22" s="107"/>
      <c r="D22" s="108"/>
      <c r="E22" s="10">
        <v>7570916.9723149203</v>
      </c>
      <c r="F22" s="11" t="s">
        <v>3</v>
      </c>
      <c r="G22" s="1"/>
    </row>
    <row r="23" spans="1:7" ht="15" customHeight="1" x14ac:dyDescent="0.25">
      <c r="A23" s="1"/>
      <c r="B23" s="104" t="s">
        <v>89</v>
      </c>
      <c r="C23" s="105"/>
      <c r="D23" s="105"/>
      <c r="E23" s="57"/>
      <c r="F23" s="57"/>
      <c r="G23" s="1"/>
    </row>
    <row r="24" spans="1:7" ht="14.25" customHeight="1" x14ac:dyDescent="0.25">
      <c r="A24" s="1"/>
      <c r="B24" s="92" t="s">
        <v>85</v>
      </c>
      <c r="C24" s="93"/>
      <c r="D24" s="94"/>
      <c r="E24" s="9">
        <v>0</v>
      </c>
      <c r="F24" s="8" t="s">
        <v>3</v>
      </c>
      <c r="G24" s="1"/>
    </row>
    <row r="25" spans="1:7" ht="14.25" customHeight="1" x14ac:dyDescent="0.25">
      <c r="A25" s="1"/>
      <c r="B25" s="92" t="s">
        <v>86</v>
      </c>
      <c r="C25" s="93"/>
      <c r="D25" s="94"/>
      <c r="E25" s="9">
        <v>0</v>
      </c>
      <c r="F25" s="8" t="s">
        <v>3</v>
      </c>
      <c r="G25" s="1"/>
    </row>
    <row r="26" spans="1:7" x14ac:dyDescent="0.25">
      <c r="A26" s="1"/>
      <c r="B26" s="101" t="s">
        <v>90</v>
      </c>
      <c r="C26" s="102"/>
      <c r="D26" s="102"/>
      <c r="E26" s="10">
        <v>0</v>
      </c>
      <c r="F26" s="11" t="s">
        <v>3</v>
      </c>
      <c r="G26" s="1"/>
    </row>
    <row r="27" spans="1:7" x14ac:dyDescent="0.25">
      <c r="A27" s="1"/>
      <c r="B27" s="56" t="s">
        <v>161</v>
      </c>
      <c r="C27" s="57"/>
      <c r="D27" s="57"/>
      <c r="E27" s="57"/>
      <c r="F27" s="20"/>
      <c r="G27" s="1"/>
    </row>
    <row r="28" spans="1:7" ht="15" customHeight="1" x14ac:dyDescent="0.25">
      <c r="A28" s="1"/>
      <c r="B28" s="101" t="s">
        <v>162</v>
      </c>
      <c r="C28" s="102"/>
      <c r="D28" s="103"/>
      <c r="E28" s="10">
        <v>-712100.40459163487</v>
      </c>
      <c r="F28" s="11" t="s">
        <v>3</v>
      </c>
      <c r="G28" s="1"/>
    </row>
    <row r="29" spans="1:7" x14ac:dyDescent="0.25">
      <c r="A29" s="1"/>
      <c r="B29" s="56" t="s">
        <v>246</v>
      </c>
      <c r="C29" s="57"/>
      <c r="D29" s="57"/>
      <c r="E29" s="57"/>
      <c r="F29" s="20"/>
      <c r="G29" s="1"/>
    </row>
    <row r="30" spans="1:7" ht="15.6" customHeight="1" x14ac:dyDescent="0.25">
      <c r="A30" s="1"/>
      <c r="B30" s="106" t="s">
        <v>247</v>
      </c>
      <c r="C30" s="107"/>
      <c r="D30" s="108"/>
      <c r="E30" s="10">
        <v>0</v>
      </c>
      <c r="F30" s="11" t="s">
        <v>3</v>
      </c>
      <c r="G30" s="1"/>
    </row>
    <row r="31" spans="1:7" x14ac:dyDescent="0.25">
      <c r="A31" s="1"/>
      <c r="B31" s="56" t="s">
        <v>29</v>
      </c>
      <c r="C31" s="57"/>
      <c r="D31" s="57"/>
      <c r="E31" s="12">
        <f>E20+E22+E26+E28+E30</f>
        <v>19552820.048463508</v>
      </c>
      <c r="F31" s="13" t="s">
        <v>3</v>
      </c>
      <c r="G31" s="1"/>
    </row>
    <row r="32" spans="1:7" ht="27.75" customHeight="1" x14ac:dyDescent="0.25">
      <c r="A32" s="1"/>
      <c r="B32" s="92" t="s">
        <v>191</v>
      </c>
      <c r="C32" s="93"/>
      <c r="D32" s="93"/>
      <c r="E32" s="93"/>
      <c r="F32" s="9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/AA6zZjmVJH8Qt9XtfZxdiBZcPuTXl9l2/XYi/JWyc8mtbzGFhhU2NazilfjUXixDeBn8qFkCHMdBXV+o2cdQ==" saltValue="yjV/9d3BOnl+SdC0tjQcy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9" t="s">
        <v>115</v>
      </c>
      <c r="C1" s="109"/>
      <c r="D1" s="109"/>
      <c r="E1" s="109"/>
      <c r="F1" s="109"/>
      <c r="G1" s="109"/>
      <c r="H1" s="109"/>
      <c r="I1" s="1"/>
    </row>
    <row r="2" spans="1:9" ht="15" customHeight="1" x14ac:dyDescent="0.25">
      <c r="A2" s="1"/>
      <c r="B2" s="109"/>
      <c r="C2" s="109"/>
      <c r="D2" s="109"/>
      <c r="E2" s="109"/>
      <c r="F2" s="109"/>
      <c r="G2" s="109"/>
      <c r="H2" s="109"/>
      <c r="I2" s="1"/>
    </row>
    <row r="3" spans="1:9" ht="15" customHeight="1" x14ac:dyDescent="0.25">
      <c r="A3" s="1"/>
      <c r="B3" s="109"/>
      <c r="C3" s="109"/>
      <c r="D3" s="109"/>
      <c r="E3" s="109"/>
      <c r="F3" s="109"/>
      <c r="G3" s="109"/>
      <c r="H3" s="109"/>
      <c r="I3" s="1"/>
    </row>
    <row r="4" spans="1:9" x14ac:dyDescent="0.25">
      <c r="A4" s="1"/>
      <c r="B4" s="116" t="s">
        <v>54</v>
      </c>
      <c r="C4" s="117"/>
      <c r="D4" s="117"/>
      <c r="E4" s="117"/>
      <c r="F4" s="117"/>
      <c r="G4" s="117"/>
      <c r="H4" s="118"/>
      <c r="I4" s="1"/>
    </row>
    <row r="5" spans="1:9" x14ac:dyDescent="0.25">
      <c r="A5" s="1"/>
      <c r="B5" s="113" t="s">
        <v>43</v>
      </c>
      <c r="C5" s="114"/>
      <c r="D5" s="114"/>
      <c r="E5" s="114"/>
      <c r="F5" s="115"/>
      <c r="G5" s="24">
        <v>6015408.8933423851</v>
      </c>
      <c r="H5" s="14" t="s">
        <v>3</v>
      </c>
      <c r="I5" s="1"/>
    </row>
    <row r="6" spans="1:9" x14ac:dyDescent="0.25">
      <c r="A6" s="1"/>
      <c r="B6" s="113" t="s">
        <v>44</v>
      </c>
      <c r="C6" s="114"/>
      <c r="D6" s="114"/>
      <c r="E6" s="114"/>
      <c r="F6" s="115"/>
      <c r="G6" s="24">
        <f>G5*'Fane 12. Nøgletal'!C29</f>
        <v>120308.17786684771</v>
      </c>
      <c r="H6" s="14" t="s">
        <v>3</v>
      </c>
      <c r="I6" s="1"/>
    </row>
    <row r="7" spans="1:9" x14ac:dyDescent="0.25">
      <c r="A7" s="1"/>
      <c r="B7" s="56"/>
      <c r="C7" s="57"/>
      <c r="D7" s="57"/>
      <c r="E7" s="57"/>
      <c r="F7" s="57"/>
      <c r="G7" s="5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6" t="s">
        <v>55</v>
      </c>
      <c r="C9" s="117"/>
      <c r="D9" s="117"/>
      <c r="E9" s="117"/>
      <c r="F9" s="117"/>
      <c r="G9" s="117"/>
      <c r="H9" s="118"/>
      <c r="I9" s="1"/>
    </row>
    <row r="10" spans="1:9" x14ac:dyDescent="0.25">
      <c r="A10" s="1"/>
      <c r="B10" s="113" t="s">
        <v>45</v>
      </c>
      <c r="C10" s="114"/>
      <c r="D10" s="114"/>
      <c r="E10" s="114"/>
      <c r="F10" s="115"/>
      <c r="G10" s="24">
        <f>(G5-G6)*(1+'Fane 12. Nøgletal'!C9)</f>
        <v>5969968.4945620764</v>
      </c>
      <c r="H10" s="14" t="s">
        <v>3</v>
      </c>
      <c r="I10" s="1"/>
    </row>
    <row r="11" spans="1:9" x14ac:dyDescent="0.25">
      <c r="A11" s="1"/>
      <c r="B11" s="119" t="s">
        <v>46</v>
      </c>
      <c r="C11" s="120"/>
      <c r="D11" s="120"/>
      <c r="E11" s="120"/>
      <c r="F11" s="121"/>
      <c r="G11" s="42">
        <v>0</v>
      </c>
      <c r="H11" s="14" t="s">
        <v>3</v>
      </c>
      <c r="I11" s="1"/>
    </row>
    <row r="12" spans="1:9" x14ac:dyDescent="0.25">
      <c r="A12" s="1"/>
      <c r="B12" s="113" t="s">
        <v>47</v>
      </c>
      <c r="C12" s="114"/>
      <c r="D12" s="114"/>
      <c r="E12" s="114"/>
      <c r="F12" s="115"/>
      <c r="G12" s="24">
        <f>(G10+G11)*'Fane 12. Nøgletal'!C29</f>
        <v>119399.36989124153</v>
      </c>
      <c r="H12" s="14" t="s">
        <v>3</v>
      </c>
      <c r="I12" s="1"/>
    </row>
    <row r="13" spans="1:9" x14ac:dyDescent="0.25">
      <c r="A13" s="1"/>
      <c r="B13" s="56"/>
      <c r="C13" s="57"/>
      <c r="D13" s="57"/>
      <c r="E13" s="57"/>
      <c r="F13" s="57"/>
      <c r="G13" s="5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6" t="s">
        <v>56</v>
      </c>
      <c r="C15" s="117"/>
      <c r="D15" s="117"/>
      <c r="E15" s="117"/>
      <c r="F15" s="117"/>
      <c r="G15" s="117"/>
      <c r="H15" s="118"/>
      <c r="I15" s="1"/>
    </row>
    <row r="16" spans="1:9" x14ac:dyDescent="0.25">
      <c r="A16" s="1"/>
      <c r="B16" s="113" t="s">
        <v>48</v>
      </c>
      <c r="C16" s="114"/>
      <c r="D16" s="114"/>
      <c r="E16" s="114"/>
      <c r="F16" s="115"/>
      <c r="G16" s="24">
        <f>(G10+G11-G12)*(1+'Fane 12. Nøgletal'!C11)</f>
        <v>5949443.7428777721</v>
      </c>
      <c r="H16" s="14" t="s">
        <v>3</v>
      </c>
      <c r="I16" s="1"/>
    </row>
    <row r="17" spans="1:9" x14ac:dyDescent="0.25">
      <c r="A17" s="1"/>
      <c r="B17" s="113" t="s">
        <v>125</v>
      </c>
      <c r="C17" s="114"/>
      <c r="D17" s="114"/>
      <c r="E17" s="114"/>
      <c r="F17" s="115"/>
      <c r="G17" s="24">
        <v>-197189.91871909791</v>
      </c>
      <c r="H17" s="14" t="s">
        <v>3</v>
      </c>
      <c r="I17" s="1"/>
    </row>
    <row r="18" spans="1:9" x14ac:dyDescent="0.25">
      <c r="A18" s="1"/>
      <c r="B18" s="119" t="s">
        <v>49</v>
      </c>
      <c r="C18" s="120"/>
      <c r="D18" s="120"/>
      <c r="E18" s="120"/>
      <c r="F18" s="121"/>
      <c r="G18" s="42">
        <v>0</v>
      </c>
      <c r="H18" s="14" t="s">
        <v>3</v>
      </c>
      <c r="I18" s="1"/>
    </row>
    <row r="19" spans="1:9" x14ac:dyDescent="0.25">
      <c r="A19" s="1"/>
      <c r="B19" s="113" t="s">
        <v>50</v>
      </c>
      <c r="C19" s="114"/>
      <c r="D19" s="114"/>
      <c r="E19" s="114"/>
      <c r="F19" s="115"/>
      <c r="G19" s="24">
        <f>SUM(G16:G18)*'Fane 12. Nøgletal'!C29</f>
        <v>115045.07648317349</v>
      </c>
      <c r="H19" s="14" t="s">
        <v>3</v>
      </c>
      <c r="I19" s="1"/>
    </row>
    <row r="20" spans="1:9" x14ac:dyDescent="0.25">
      <c r="A20" s="1"/>
      <c r="B20" s="56"/>
      <c r="C20" s="57"/>
      <c r="D20" s="57"/>
      <c r="E20" s="57"/>
      <c r="F20" s="57"/>
      <c r="G20" s="5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6" t="s">
        <v>57</v>
      </c>
      <c r="C22" s="117"/>
      <c r="D22" s="117"/>
      <c r="E22" s="117"/>
      <c r="F22" s="117"/>
      <c r="G22" s="117"/>
      <c r="H22" s="118"/>
      <c r="I22" s="1"/>
    </row>
    <row r="23" spans="1:9" x14ac:dyDescent="0.25">
      <c r="A23" s="1"/>
      <c r="B23" s="113" t="s">
        <v>51</v>
      </c>
      <c r="C23" s="114"/>
      <c r="D23" s="114"/>
      <c r="E23" s="114"/>
      <c r="F23" s="115"/>
      <c r="G23" s="24">
        <f>(SUM(G16:G18)-G19)*(1+'Fane 12. Nøgletal'!C11)</f>
        <v>5732477.5755112162</v>
      </c>
      <c r="H23" s="14" t="s">
        <v>3</v>
      </c>
      <c r="I23" s="1"/>
    </row>
    <row r="24" spans="1:9" x14ac:dyDescent="0.25">
      <c r="A24" s="1"/>
      <c r="B24" s="119" t="s">
        <v>52</v>
      </c>
      <c r="C24" s="120"/>
      <c r="D24" s="120"/>
      <c r="E24" s="120"/>
      <c r="F24" s="121"/>
      <c r="G24" s="42">
        <v>0</v>
      </c>
      <c r="H24" s="14" t="s">
        <v>3</v>
      </c>
      <c r="I24" s="1"/>
    </row>
    <row r="25" spans="1:9" x14ac:dyDescent="0.25">
      <c r="A25" s="1"/>
      <c r="B25" s="113" t="s">
        <v>53</v>
      </c>
      <c r="C25" s="114"/>
      <c r="D25" s="114"/>
      <c r="E25" s="114"/>
      <c r="F25" s="115"/>
      <c r="G25" s="24">
        <f>(G23+G24)*'Fane 12. Nøgletal'!C29</f>
        <v>114649.55151022432</v>
      </c>
      <c r="H25" s="14" t="s">
        <v>3</v>
      </c>
      <c r="I25" s="1"/>
    </row>
    <row r="26" spans="1:9" x14ac:dyDescent="0.25">
      <c r="A26" s="1"/>
      <c r="B26" s="56"/>
      <c r="C26" s="57"/>
      <c r="D26" s="57"/>
      <c r="E26" s="57"/>
      <c r="F26" s="57"/>
      <c r="G26" s="5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6" t="s">
        <v>175</v>
      </c>
      <c r="C28" s="117"/>
      <c r="D28" s="117"/>
      <c r="E28" s="117"/>
      <c r="F28" s="117"/>
      <c r="G28" s="117"/>
      <c r="H28" s="118"/>
      <c r="I28" s="1"/>
    </row>
    <row r="29" spans="1:9" x14ac:dyDescent="0.25">
      <c r="A29" s="1"/>
      <c r="B29" s="113" t="s">
        <v>60</v>
      </c>
      <c r="C29" s="114"/>
      <c r="D29" s="114"/>
      <c r="E29" s="114"/>
      <c r="F29" s="115"/>
      <c r="G29" s="24">
        <f>(G23+G24-G25)*(1+'Fane 12. Nøgletal'!C13)</f>
        <v>5686365.5258938037</v>
      </c>
      <c r="H29" s="14" t="s">
        <v>3</v>
      </c>
      <c r="I29" s="1"/>
    </row>
    <row r="30" spans="1:9" x14ac:dyDescent="0.25">
      <c r="A30" s="1"/>
      <c r="B30" s="113" t="s">
        <v>147</v>
      </c>
      <c r="C30" s="114"/>
      <c r="D30" s="114"/>
      <c r="E30" s="114"/>
      <c r="F30" s="115"/>
      <c r="G30" s="24">
        <f>SUM('Fane 3. Omkostninger i ØR2021'!E10,'Fane 3. Omkostninger i ØR2021'!E12,'Fane 3. Omkostninger i ØR2021'!E14)*(1+'Fane 12. Nøgletal'!C13)</f>
        <v>711054.31229028001</v>
      </c>
      <c r="H30" s="14" t="s">
        <v>3</v>
      </c>
      <c r="I30" s="1"/>
    </row>
    <row r="31" spans="1:9" x14ac:dyDescent="0.25">
      <c r="A31" s="1"/>
      <c r="B31" s="113" t="s">
        <v>159</v>
      </c>
      <c r="C31" s="114"/>
      <c r="D31" s="114"/>
      <c r="E31" s="114"/>
      <c r="F31" s="115"/>
      <c r="G31" s="24">
        <f>(G29+G30)*'Fane 12. Nøgletal'!C29</f>
        <v>127948.39676368168</v>
      </c>
      <c r="H31" s="14" t="s">
        <v>3</v>
      </c>
      <c r="I31" s="1"/>
    </row>
    <row r="32" spans="1:9" x14ac:dyDescent="0.25">
      <c r="A32" s="1"/>
      <c r="B32" s="56"/>
      <c r="C32" s="57"/>
      <c r="D32" s="57"/>
      <c r="E32" s="57"/>
      <c r="F32" s="57"/>
      <c r="G32" s="5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6" t="s">
        <v>176</v>
      </c>
      <c r="C34" s="117"/>
      <c r="D34" s="117"/>
      <c r="E34" s="117"/>
      <c r="F34" s="117"/>
      <c r="G34" s="117"/>
      <c r="H34" s="118"/>
      <c r="I34" s="1"/>
    </row>
    <row r="35" spans="1:9" x14ac:dyDescent="0.25">
      <c r="A35" s="1"/>
      <c r="B35" s="113" t="s">
        <v>80</v>
      </c>
      <c r="C35" s="114"/>
      <c r="D35" s="114"/>
      <c r="E35" s="114"/>
      <c r="F35" s="115"/>
      <c r="G35" s="24">
        <f>(G29+G30-G31)*(1+'Fane 12. Nøgletal'!C13)</f>
        <v>6345958.9930057311</v>
      </c>
      <c r="H35" s="14" t="s">
        <v>3</v>
      </c>
      <c r="I35" s="1"/>
    </row>
    <row r="36" spans="1:9" x14ac:dyDescent="0.25">
      <c r="A36" s="1"/>
      <c r="B36" s="37" t="s">
        <v>192</v>
      </c>
      <c r="C36" s="62"/>
      <c r="D36" s="62"/>
      <c r="E36" s="62"/>
      <c r="F36" s="63"/>
      <c r="G36" s="24">
        <f>SUM('Fane 2.1. Økonomisk ramme 2022'!C10)*(1+'Fane 12. Nøgletal'!C14)</f>
        <v>691307.93444148207</v>
      </c>
      <c r="H36" s="14" t="s">
        <v>3</v>
      </c>
      <c r="I36" s="1"/>
    </row>
    <row r="37" spans="1:9" x14ac:dyDescent="0.25">
      <c r="A37" s="1"/>
      <c r="B37" s="113" t="s">
        <v>221</v>
      </c>
      <c r="C37" s="114"/>
      <c r="D37" s="114"/>
      <c r="E37" s="114"/>
      <c r="F37" s="115"/>
      <c r="G37" s="24">
        <f>SUM('Fane 2.1. Økonomisk ramme 2022'!C12,'Fane 2.1. Økonomisk ramme 2022'!C14,'Fane 2.1. Økonomisk ramme 2022'!C16)*(1+'Fane 12. Nøgletal'!C14)</f>
        <v>121833.13584937002</v>
      </c>
      <c r="H37" s="14" t="s">
        <v>3</v>
      </c>
      <c r="I37" s="1"/>
    </row>
    <row r="38" spans="1:9" x14ac:dyDescent="0.25">
      <c r="A38" s="1"/>
      <c r="B38" s="113" t="s">
        <v>177</v>
      </c>
      <c r="C38" s="114"/>
      <c r="D38" s="114"/>
      <c r="E38" s="114"/>
      <c r="F38" s="115"/>
      <c r="G38" s="24">
        <f>(G35+G37)*'Fane 12. Nøgletal'!C29</f>
        <v>129355.84257710203</v>
      </c>
      <c r="H38" s="14" t="s">
        <v>3</v>
      </c>
      <c r="I38" s="1"/>
    </row>
    <row r="39" spans="1:9" x14ac:dyDescent="0.25">
      <c r="A39" s="1"/>
      <c r="B39" s="56"/>
      <c r="C39" s="57"/>
      <c r="D39" s="57"/>
      <c r="E39" s="57"/>
      <c r="F39" s="57"/>
      <c r="G39" s="57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6" t="s">
        <v>81</v>
      </c>
      <c r="C41" s="117"/>
      <c r="D41" s="117"/>
      <c r="E41" s="117"/>
      <c r="F41" s="117"/>
      <c r="G41" s="117"/>
      <c r="H41" s="118"/>
      <c r="I41" s="1"/>
    </row>
    <row r="42" spans="1:9" x14ac:dyDescent="0.25">
      <c r="A42" s="1"/>
      <c r="B42" s="113" t="s">
        <v>79</v>
      </c>
      <c r="C42" s="114"/>
      <c r="D42" s="114"/>
      <c r="E42" s="114"/>
      <c r="F42" s="115"/>
      <c r="G42" s="24">
        <f>(G35+G37-G38)*(1+'Fane 12. Nøgletal'!C14)</f>
        <v>6359353.126022717</v>
      </c>
      <c r="H42" s="14" t="s">
        <v>3</v>
      </c>
      <c r="I42" s="1"/>
    </row>
    <row r="43" spans="1:9" x14ac:dyDescent="0.25">
      <c r="A43" s="1"/>
      <c r="B43" s="113" t="s">
        <v>92</v>
      </c>
      <c r="C43" s="114"/>
      <c r="D43" s="114"/>
      <c r="E43" s="114"/>
      <c r="F43" s="115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3" t="s">
        <v>61</v>
      </c>
      <c r="C44" s="114"/>
      <c r="D44" s="114"/>
      <c r="E44" s="114"/>
      <c r="F44" s="115"/>
      <c r="G44" s="24">
        <f>(G42+G43)*'Fane 12. Nøgletal'!C29</f>
        <v>127187.06252045435</v>
      </c>
      <c r="H44" s="14" t="s">
        <v>3</v>
      </c>
      <c r="I44" s="1"/>
    </row>
    <row r="45" spans="1:9" x14ac:dyDescent="0.25">
      <c r="A45" s="1"/>
      <c r="B45" s="56"/>
      <c r="C45" s="57"/>
      <c r="D45" s="57"/>
      <c r="E45" s="57"/>
      <c r="F45" s="57"/>
      <c r="G45" s="57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6" t="s">
        <v>148</v>
      </c>
      <c r="C47" s="117"/>
      <c r="D47" s="117"/>
      <c r="E47" s="117"/>
      <c r="F47" s="117"/>
      <c r="G47" s="117"/>
      <c r="H47" s="118"/>
      <c r="I47" s="1"/>
    </row>
    <row r="48" spans="1:9" x14ac:dyDescent="0.25">
      <c r="A48" s="1"/>
      <c r="B48" s="113" t="s">
        <v>149</v>
      </c>
      <c r="C48" s="114"/>
      <c r="D48" s="114"/>
      <c r="E48" s="114"/>
      <c r="F48" s="115"/>
      <c r="G48" s="24">
        <f>(G42+G43-G44)*(1+'Fane 12. Nøgletal'!C14)</f>
        <v>6252732.2115118206</v>
      </c>
      <c r="H48" s="14" t="s">
        <v>3</v>
      </c>
      <c r="I48" s="1"/>
    </row>
    <row r="49" spans="1:9" x14ac:dyDescent="0.25">
      <c r="A49" s="1"/>
      <c r="B49" s="113" t="s">
        <v>150</v>
      </c>
      <c r="C49" s="114"/>
      <c r="D49" s="114"/>
      <c r="E49" s="114"/>
      <c r="F49" s="115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3" t="s">
        <v>151</v>
      </c>
      <c r="C50" s="114"/>
      <c r="D50" s="114"/>
      <c r="E50" s="114"/>
      <c r="F50" s="115"/>
      <c r="G50" s="24">
        <f>(G48+G49)*'Fane 12. Nøgletal'!C29</f>
        <v>125054.64423023642</v>
      </c>
      <c r="H50" s="14" t="s">
        <v>3</v>
      </c>
      <c r="I50" s="1"/>
    </row>
    <row r="51" spans="1:9" x14ac:dyDescent="0.25">
      <c r="A51" s="1"/>
      <c r="B51" s="56"/>
      <c r="C51" s="57"/>
      <c r="D51" s="57"/>
      <c r="E51" s="57"/>
      <c r="F51" s="57"/>
      <c r="G51" s="57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6" t="s">
        <v>198</v>
      </c>
      <c r="C53" s="117"/>
      <c r="D53" s="117"/>
      <c r="E53" s="117"/>
      <c r="F53" s="117"/>
      <c r="G53" s="117"/>
      <c r="H53" s="118"/>
      <c r="I53" s="1"/>
    </row>
    <row r="54" spans="1:9" x14ac:dyDescent="0.25">
      <c r="A54" s="1"/>
      <c r="B54" s="113" t="s">
        <v>199</v>
      </c>
      <c r="C54" s="114"/>
      <c r="D54" s="114"/>
      <c r="E54" s="114"/>
      <c r="F54" s="115"/>
      <c r="G54" s="24">
        <f>(G48+G49-G50)*(1+'Fane 12. Nøgletal'!C14)</f>
        <v>6147898.903253614</v>
      </c>
      <c r="H54" s="14" t="s">
        <v>3</v>
      </c>
      <c r="I54" s="1"/>
    </row>
    <row r="55" spans="1:9" x14ac:dyDescent="0.25">
      <c r="A55" s="1"/>
      <c r="B55" s="113" t="s">
        <v>200</v>
      </c>
      <c r="C55" s="114"/>
      <c r="D55" s="114"/>
      <c r="E55" s="114"/>
      <c r="F55" s="115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3" t="s">
        <v>201</v>
      </c>
      <c r="C56" s="114"/>
      <c r="D56" s="114"/>
      <c r="E56" s="114"/>
      <c r="F56" s="115"/>
      <c r="G56" s="24">
        <f>(G54+G55)*'Fane 12. Nøgletal'!C29</f>
        <v>122957.97806507228</v>
      </c>
      <c r="H56" s="14" t="s">
        <v>3</v>
      </c>
      <c r="I56" s="1"/>
    </row>
    <row r="57" spans="1:9" x14ac:dyDescent="0.25">
      <c r="A57" s="1"/>
      <c r="B57" s="56"/>
      <c r="C57" s="57"/>
      <c r="D57" s="57"/>
      <c r="E57" s="57"/>
      <c r="F57" s="57"/>
      <c r="G57" s="57"/>
      <c r="H57" s="20"/>
      <c r="I57" s="1"/>
    </row>
  </sheetData>
  <sheetProtection algorithmName="SHA-512" hashValue="9gcDnSRXye1b4t7877n9MS/bNYjqt8rTBVa2+h866uC1LZdupJNdN0sfY7CS6Phg2gVIhzMjLjNLB5q7XkdykA==" saltValue="YP02e40llOk3zRdeiPneng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2" t="s">
        <v>116</v>
      </c>
      <c r="C1" s="123"/>
      <c r="D1" s="123"/>
      <c r="E1" s="123"/>
      <c r="F1" s="123"/>
      <c r="G1" s="123"/>
      <c r="H1" s="123"/>
      <c r="I1" s="1"/>
    </row>
    <row r="2" spans="1:9" ht="19.899999999999999" customHeight="1" x14ac:dyDescent="0.25">
      <c r="A2" s="1"/>
      <c r="B2" s="123"/>
      <c r="C2" s="123"/>
      <c r="D2" s="123"/>
      <c r="E2" s="123"/>
      <c r="F2" s="123"/>
      <c r="G2" s="123"/>
      <c r="H2" s="123"/>
      <c r="I2" s="1"/>
    </row>
    <row r="3" spans="1:9" ht="15" customHeight="1" x14ac:dyDescent="0.25">
      <c r="A3" s="1"/>
      <c r="B3" s="124"/>
      <c r="C3" s="124"/>
      <c r="D3" s="124"/>
      <c r="E3" s="124"/>
      <c r="F3" s="124"/>
      <c r="G3" s="124"/>
      <c r="H3" s="124"/>
      <c r="I3" s="1"/>
    </row>
    <row r="4" spans="1:9" x14ac:dyDescent="0.25">
      <c r="A4" s="1"/>
      <c r="B4" s="116" t="s">
        <v>58</v>
      </c>
      <c r="C4" s="117"/>
      <c r="D4" s="117"/>
      <c r="E4" s="117"/>
      <c r="F4" s="117"/>
      <c r="G4" s="117"/>
      <c r="H4" s="118"/>
      <c r="I4" s="1"/>
    </row>
    <row r="5" spans="1:9" x14ac:dyDescent="0.25">
      <c r="A5" s="1"/>
      <c r="B5" s="113" t="s">
        <v>62</v>
      </c>
      <c r="C5" s="114"/>
      <c r="D5" s="114"/>
      <c r="E5" s="114"/>
      <c r="F5" s="115"/>
      <c r="G5" s="24">
        <v>6326609.3285152912</v>
      </c>
      <c r="H5" s="14" t="s">
        <v>3</v>
      </c>
      <c r="I5" s="1"/>
    </row>
    <row r="6" spans="1:9" x14ac:dyDescent="0.25">
      <c r="A6" s="1"/>
      <c r="B6" s="113" t="s">
        <v>59</v>
      </c>
      <c r="C6" s="114"/>
      <c r="D6" s="114"/>
      <c r="E6" s="114"/>
      <c r="F6" s="115"/>
      <c r="G6" s="24">
        <f>G5*'Fane 12. Nøgletal'!C19</f>
        <v>57572.144889489151</v>
      </c>
      <c r="H6" s="14" t="s">
        <v>3</v>
      </c>
      <c r="I6" s="1"/>
    </row>
    <row r="7" spans="1:9" x14ac:dyDescent="0.25">
      <c r="A7" s="1"/>
      <c r="B7" s="56"/>
      <c r="C7" s="57"/>
      <c r="D7" s="57"/>
      <c r="E7" s="57"/>
      <c r="F7" s="57"/>
      <c r="G7" s="5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6" t="s">
        <v>63</v>
      </c>
      <c r="C9" s="117"/>
      <c r="D9" s="117"/>
      <c r="E9" s="117"/>
      <c r="F9" s="117"/>
      <c r="G9" s="117"/>
      <c r="H9" s="118"/>
      <c r="I9" s="1"/>
    </row>
    <row r="10" spans="1:9" x14ac:dyDescent="0.25">
      <c r="A10" s="1"/>
      <c r="B10" s="113" t="s">
        <v>64</v>
      </c>
      <c r="C10" s="114"/>
      <c r="D10" s="114"/>
      <c r="E10" s="114"/>
      <c r="F10" s="115"/>
      <c r="G10" s="24">
        <f>(G5-G6)*(1+'Fane 12. Nøgletal'!C9)</f>
        <v>6348653.9558578497</v>
      </c>
      <c r="H10" s="14" t="s">
        <v>3</v>
      </c>
      <c r="I10" s="1"/>
    </row>
    <row r="11" spans="1:9" x14ac:dyDescent="0.25">
      <c r="A11" s="1"/>
      <c r="B11" s="119" t="s">
        <v>65</v>
      </c>
      <c r="C11" s="120"/>
      <c r="D11" s="120"/>
      <c r="E11" s="120"/>
      <c r="F11" s="121"/>
      <c r="G11" s="42">
        <v>0</v>
      </c>
      <c r="H11" s="14" t="s">
        <v>3</v>
      </c>
      <c r="I11" s="1"/>
    </row>
    <row r="12" spans="1:9" x14ac:dyDescent="0.25">
      <c r="A12" s="1"/>
      <c r="B12" s="113" t="s">
        <v>66</v>
      </c>
      <c r="C12" s="114"/>
      <c r="D12" s="114"/>
      <c r="E12" s="114"/>
      <c r="F12" s="115"/>
      <c r="G12" s="24">
        <f>G10*'Fane 12. Nøgletal'!C19+G11*'Fane 12. Nøgletal'!C20</f>
        <v>57772.750998306437</v>
      </c>
      <c r="H12" s="14" t="s">
        <v>3</v>
      </c>
      <c r="I12" s="1"/>
    </row>
    <row r="13" spans="1:9" x14ac:dyDescent="0.25">
      <c r="A13" s="1"/>
      <c r="B13" s="56"/>
      <c r="C13" s="57"/>
      <c r="D13" s="57"/>
      <c r="E13" s="57"/>
      <c r="F13" s="57"/>
      <c r="G13" s="5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6" t="s">
        <v>67</v>
      </c>
      <c r="C15" s="117"/>
      <c r="D15" s="117"/>
      <c r="E15" s="117"/>
      <c r="F15" s="117"/>
      <c r="G15" s="117"/>
      <c r="H15" s="118"/>
      <c r="I15" s="1"/>
    </row>
    <row r="16" spans="1:9" x14ac:dyDescent="0.25">
      <c r="A16" s="1"/>
      <c r="B16" s="113" t="s">
        <v>68</v>
      </c>
      <c r="C16" s="114"/>
      <c r="D16" s="114"/>
      <c r="E16" s="114"/>
      <c r="F16" s="115"/>
      <c r="G16" s="24">
        <f>(G10+G11-G12)*(1+'Fane 12. Nøgletal'!C11)</f>
        <v>6397197.0972216697</v>
      </c>
      <c r="H16" s="14" t="s">
        <v>3</v>
      </c>
      <c r="I16" s="1"/>
    </row>
    <row r="17" spans="1:9" x14ac:dyDescent="0.25">
      <c r="A17" s="1"/>
      <c r="B17" s="113" t="s">
        <v>126</v>
      </c>
      <c r="C17" s="114"/>
      <c r="D17" s="114"/>
      <c r="E17" s="114"/>
      <c r="F17" s="115"/>
      <c r="G17" s="24">
        <v>23994.741571507882</v>
      </c>
      <c r="H17" s="14" t="s">
        <v>3</v>
      </c>
      <c r="I17" s="1"/>
    </row>
    <row r="18" spans="1:9" x14ac:dyDescent="0.25">
      <c r="A18" s="1"/>
      <c r="B18" s="119" t="s">
        <v>69</v>
      </c>
      <c r="C18" s="120"/>
      <c r="D18" s="120"/>
      <c r="E18" s="120"/>
      <c r="F18" s="121"/>
      <c r="G18" s="24">
        <v>138364.79096043998</v>
      </c>
      <c r="H18" s="14" t="s">
        <v>3</v>
      </c>
      <c r="I18" s="1"/>
    </row>
    <row r="19" spans="1:9" x14ac:dyDescent="0.25">
      <c r="A19" s="1"/>
      <c r="B19" s="113" t="s">
        <v>70</v>
      </c>
      <c r="C19" s="114"/>
      <c r="D19" s="114"/>
      <c r="E19" s="114"/>
      <c r="F19" s="115"/>
      <c r="G19" s="24">
        <f>(G16+G17+G18)*'Fane 12. Nøgletal'!C21</f>
        <v>57068.142678856471</v>
      </c>
      <c r="H19" s="14" t="s">
        <v>3</v>
      </c>
      <c r="I19" s="1"/>
    </row>
    <row r="20" spans="1:9" x14ac:dyDescent="0.25">
      <c r="A20" s="1"/>
      <c r="B20" s="56"/>
      <c r="C20" s="57"/>
      <c r="D20" s="57"/>
      <c r="E20" s="57"/>
      <c r="F20" s="57"/>
      <c r="G20" s="5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6" t="s">
        <v>71</v>
      </c>
      <c r="C22" s="117"/>
      <c r="D22" s="117"/>
      <c r="E22" s="117"/>
      <c r="F22" s="117"/>
      <c r="G22" s="117"/>
      <c r="H22" s="118"/>
      <c r="I22" s="1"/>
    </row>
    <row r="23" spans="1:9" x14ac:dyDescent="0.25">
      <c r="A23" s="1"/>
      <c r="B23" s="113" t="s">
        <v>72</v>
      </c>
      <c r="C23" s="114"/>
      <c r="D23" s="114"/>
      <c r="E23" s="114"/>
      <c r="F23" s="115"/>
      <c r="G23" s="24">
        <f>(SUM(G16:G18)-G19)*(1+'Fane 12. Nøgletal'!C11)</f>
        <v>6612380.5425063232</v>
      </c>
      <c r="H23" s="14" t="s">
        <v>3</v>
      </c>
      <c r="I23" s="1"/>
    </row>
    <row r="24" spans="1:9" x14ac:dyDescent="0.25">
      <c r="A24" s="1"/>
      <c r="B24" s="119" t="s">
        <v>73</v>
      </c>
      <c r="C24" s="120"/>
      <c r="D24" s="120"/>
      <c r="E24" s="120"/>
      <c r="F24" s="121"/>
      <c r="G24" s="24">
        <v>122892.45037829102</v>
      </c>
      <c r="H24" s="14" t="s">
        <v>3</v>
      </c>
      <c r="I24" s="1"/>
    </row>
    <row r="25" spans="1:9" x14ac:dyDescent="0.25">
      <c r="A25" s="1"/>
      <c r="B25" s="113" t="s">
        <v>74</v>
      </c>
      <c r="C25" s="114"/>
      <c r="D25" s="114"/>
      <c r="E25" s="114"/>
      <c r="F25" s="115"/>
      <c r="G25" s="24">
        <f>G23*'Fane 12. Nøgletal'!C21+G24*'Fane 12. Nøgletal'!C22</f>
        <v>61017.856310548472</v>
      </c>
      <c r="H25" s="14" t="s">
        <v>3</v>
      </c>
      <c r="I25" s="1"/>
    </row>
    <row r="26" spans="1:9" x14ac:dyDescent="0.25">
      <c r="A26" s="1"/>
      <c r="B26" s="56"/>
      <c r="C26" s="57"/>
      <c r="D26" s="57"/>
      <c r="E26" s="57"/>
      <c r="F26" s="57"/>
      <c r="G26" s="5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6" t="s">
        <v>173</v>
      </c>
      <c r="C28" s="117"/>
      <c r="D28" s="117"/>
      <c r="E28" s="117"/>
      <c r="F28" s="117"/>
      <c r="G28" s="117"/>
      <c r="H28" s="118"/>
      <c r="I28" s="1"/>
    </row>
    <row r="29" spans="1:9" x14ac:dyDescent="0.25">
      <c r="A29" s="1"/>
      <c r="B29" s="113" t="s">
        <v>75</v>
      </c>
      <c r="C29" s="114"/>
      <c r="D29" s="114"/>
      <c r="E29" s="114"/>
      <c r="F29" s="115"/>
      <c r="G29" s="24">
        <f>(G23+G24-G25)*(1+'Fane 12. Nøgletal'!C13)</f>
        <v>6755681.0492402697</v>
      </c>
      <c r="H29" s="14" t="s">
        <v>3</v>
      </c>
      <c r="I29" s="1"/>
    </row>
    <row r="30" spans="1:9" x14ac:dyDescent="0.25">
      <c r="A30" s="1"/>
      <c r="B30" s="113" t="s">
        <v>152</v>
      </c>
      <c r="C30" s="114"/>
      <c r="D30" s="114"/>
      <c r="E30" s="114"/>
      <c r="F30" s="115"/>
      <c r="G30" s="24">
        <v>285076.61653463996</v>
      </c>
      <c r="H30" s="14" t="s">
        <v>3</v>
      </c>
      <c r="I30" s="1"/>
    </row>
    <row r="31" spans="1:9" x14ac:dyDescent="0.25">
      <c r="A31" s="1"/>
      <c r="B31" s="113" t="s">
        <v>174</v>
      </c>
      <c r="C31" s="114"/>
      <c r="D31" s="114"/>
      <c r="E31" s="114"/>
      <c r="F31" s="115"/>
      <c r="G31" s="24">
        <f>(G29+G30)*'Fane 12. Nøgletal'!C23</f>
        <v>193620.83580881002</v>
      </c>
      <c r="H31" s="14" t="s">
        <v>3</v>
      </c>
      <c r="I31" s="1"/>
    </row>
    <row r="32" spans="1:9" x14ac:dyDescent="0.25">
      <c r="A32" s="1"/>
      <c r="B32" s="56"/>
      <c r="C32" s="57"/>
      <c r="D32" s="57"/>
      <c r="E32" s="57"/>
      <c r="F32" s="57"/>
      <c r="G32" s="5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6" t="s">
        <v>178</v>
      </c>
      <c r="C34" s="117"/>
      <c r="D34" s="117"/>
      <c r="E34" s="117"/>
      <c r="F34" s="117"/>
      <c r="G34" s="117"/>
      <c r="H34" s="118"/>
      <c r="I34" s="1"/>
    </row>
    <row r="35" spans="1:9" x14ac:dyDescent="0.25">
      <c r="A35" s="1"/>
      <c r="B35" s="113" t="s">
        <v>78</v>
      </c>
      <c r="C35" s="114"/>
      <c r="D35" s="114"/>
      <c r="E35" s="114"/>
      <c r="F35" s="115"/>
      <c r="G35" s="24">
        <f>(G29+G30-G31)*(1+'Fane 12. Nøgletal'!C13)</f>
        <v>6930671.8992916867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275014.74841657089</v>
      </c>
      <c r="H36" s="14" t="s">
        <v>3</v>
      </c>
      <c r="I36" s="38"/>
    </row>
    <row r="37" spans="1:9" x14ac:dyDescent="0.25">
      <c r="A37" s="1"/>
      <c r="B37" s="113" t="s">
        <v>193</v>
      </c>
      <c r="C37" s="114"/>
      <c r="D37" s="114"/>
      <c r="E37" s="114"/>
      <c r="F37" s="115"/>
      <c r="G37" s="24">
        <f>SUM('Fane 2.1. Økonomisk ramme 2022'!C13,'Fane 2.1. Økonomisk ramme 2022'!C15,'Fane 2.1. Økonomisk ramme 2022'!C17)*(1+'Fane 12. Nøgletal'!C14)</f>
        <v>37090.591463830009</v>
      </c>
      <c r="H37" s="14" t="s">
        <v>3</v>
      </c>
      <c r="I37" s="1"/>
    </row>
    <row r="38" spans="1:9" x14ac:dyDescent="0.25">
      <c r="A38" s="1"/>
      <c r="B38" s="113" t="s">
        <v>179</v>
      </c>
      <c r="C38" s="114"/>
      <c r="D38" s="114"/>
      <c r="E38" s="114"/>
      <c r="F38" s="115"/>
      <c r="G38" s="24">
        <f>G35*'Fane 12. Nøgletal'!C23+G37*'Fane 12. Nøgletal'!C24</f>
        <v>191142.41798418606</v>
      </c>
      <c r="H38" s="14" t="s">
        <v>3</v>
      </c>
      <c r="I38" s="1"/>
    </row>
    <row r="39" spans="1:9" x14ac:dyDescent="0.25">
      <c r="A39" s="1"/>
      <c r="B39" s="56"/>
      <c r="C39" s="57"/>
      <c r="D39" s="57"/>
      <c r="E39" s="57"/>
      <c r="F39" s="57"/>
      <c r="G39" s="57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6" t="s">
        <v>82</v>
      </c>
      <c r="C41" s="117"/>
      <c r="D41" s="117"/>
      <c r="E41" s="117"/>
      <c r="F41" s="117"/>
      <c r="G41" s="117"/>
      <c r="H41" s="118"/>
      <c r="I41" s="1"/>
    </row>
    <row r="42" spans="1:9" x14ac:dyDescent="0.25">
      <c r="A42" s="1"/>
      <c r="B42" s="113" t="s">
        <v>77</v>
      </c>
      <c r="C42" s="114"/>
      <c r="D42" s="114"/>
      <c r="E42" s="114"/>
      <c r="F42" s="115"/>
      <c r="G42" s="24">
        <f>(G35+G37-G38)*(1+'Fane 12. Nøgletal'!C14)</f>
        <v>6798982.9190114774</v>
      </c>
      <c r="H42" s="14" t="s">
        <v>3</v>
      </c>
      <c r="I42" s="1"/>
    </row>
    <row r="43" spans="1:9" x14ac:dyDescent="0.25">
      <c r="A43" s="1"/>
      <c r="B43" s="113" t="s">
        <v>96</v>
      </c>
      <c r="C43" s="114"/>
      <c r="D43" s="114"/>
      <c r="E43" s="114"/>
      <c r="F43" s="115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3" t="s">
        <v>76</v>
      </c>
      <c r="C44" s="114"/>
      <c r="D44" s="114"/>
      <c r="E44" s="114"/>
      <c r="F44" s="115"/>
      <c r="G44" s="24">
        <f>(G42+G43)*'Fane 12. Nøgletal'!C24</f>
        <v>100624.94720136987</v>
      </c>
      <c r="H44" s="14" t="s">
        <v>3</v>
      </c>
      <c r="I44" s="1"/>
    </row>
    <row r="45" spans="1:9" x14ac:dyDescent="0.25">
      <c r="A45" s="1"/>
      <c r="B45" s="56"/>
      <c r="C45" s="57"/>
      <c r="D45" s="57"/>
      <c r="E45" s="57"/>
      <c r="F45" s="57"/>
      <c r="G45" s="57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6" t="s">
        <v>153</v>
      </c>
      <c r="C47" s="117"/>
      <c r="D47" s="117"/>
      <c r="E47" s="117"/>
      <c r="F47" s="117"/>
      <c r="G47" s="117"/>
      <c r="H47" s="118"/>
      <c r="I47" s="1"/>
    </row>
    <row r="48" spans="1:9" x14ac:dyDescent="0.25">
      <c r="A48" s="1"/>
      <c r="B48" s="113" t="s">
        <v>154</v>
      </c>
      <c r="C48" s="114"/>
      <c r="D48" s="114"/>
      <c r="E48" s="114"/>
      <c r="F48" s="115"/>
      <c r="G48" s="24">
        <f>(G42+G43-G44)*(1+'Fane 12. Nøgletal'!C14)</f>
        <v>6720462.5531170806</v>
      </c>
      <c r="H48" s="14" t="s">
        <v>3</v>
      </c>
      <c r="I48" s="1"/>
    </row>
    <row r="49" spans="1:9" x14ac:dyDescent="0.25">
      <c r="A49" s="1"/>
      <c r="B49" s="113" t="s">
        <v>155</v>
      </c>
      <c r="C49" s="114"/>
      <c r="D49" s="114"/>
      <c r="E49" s="114"/>
      <c r="F49" s="115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3" t="s">
        <v>156</v>
      </c>
      <c r="C50" s="114"/>
      <c r="D50" s="114"/>
      <c r="E50" s="114"/>
      <c r="F50" s="115"/>
      <c r="G50" s="24">
        <f>(G48+G49)*'Fane 12. Nøgletal'!C24</f>
        <v>99462.845786132792</v>
      </c>
      <c r="H50" s="14" t="s">
        <v>3</v>
      </c>
      <c r="I50" s="1"/>
    </row>
    <row r="51" spans="1:9" x14ac:dyDescent="0.25">
      <c r="A51" s="1"/>
      <c r="B51" s="56"/>
      <c r="C51" s="57"/>
      <c r="D51" s="57"/>
      <c r="E51" s="57"/>
      <c r="F51" s="57"/>
      <c r="G51" s="57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6" t="s">
        <v>194</v>
      </c>
      <c r="C53" s="117"/>
      <c r="D53" s="117"/>
      <c r="E53" s="117"/>
      <c r="F53" s="117"/>
      <c r="G53" s="117"/>
      <c r="H53" s="118"/>
      <c r="I53" s="1"/>
    </row>
    <row r="54" spans="1:9" x14ac:dyDescent="0.25">
      <c r="A54" s="1"/>
      <c r="B54" s="113" t="s">
        <v>195</v>
      </c>
      <c r="C54" s="114"/>
      <c r="D54" s="114"/>
      <c r="E54" s="114"/>
      <c r="F54" s="115"/>
      <c r="G54" s="24">
        <f>(G48+G49-G50)*(1+'Fane 12. Nøgletal'!C14)</f>
        <v>6642849.00636514</v>
      </c>
      <c r="H54" s="14" t="s">
        <v>3</v>
      </c>
      <c r="I54" s="1"/>
    </row>
    <row r="55" spans="1:9" x14ac:dyDescent="0.25">
      <c r="A55" s="1"/>
      <c r="B55" s="113" t="s">
        <v>196</v>
      </c>
      <c r="C55" s="114"/>
      <c r="D55" s="114"/>
      <c r="E55" s="114"/>
      <c r="F55" s="115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3" t="s">
        <v>197</v>
      </c>
      <c r="C56" s="114"/>
      <c r="D56" s="114"/>
      <c r="E56" s="114"/>
      <c r="F56" s="115"/>
      <c r="G56" s="24">
        <f>(G54+G55)*'Fane 12. Nøgletal'!C24</f>
        <v>98314.165294204082</v>
      </c>
      <c r="H56" s="14" t="s">
        <v>3</v>
      </c>
      <c r="I56" s="1"/>
    </row>
    <row r="57" spans="1:9" x14ac:dyDescent="0.25">
      <c r="A57" s="1"/>
      <c r="B57" s="56"/>
      <c r="C57" s="57"/>
      <c r="D57" s="57"/>
      <c r="E57" s="57"/>
      <c r="F57" s="57"/>
      <c r="G57" s="57"/>
      <c r="H57" s="20"/>
      <c r="I57" s="1"/>
    </row>
  </sheetData>
  <sheetProtection algorithmName="SHA-512" hashValue="EUq7uwsKjN8j6BbIZGgucLiwCp3IW4IYhhcvl8KDA/11xI9hDqGDVGIxKyWIh6egAtD6TVmqHgbXpjrq3jkQNg==" saltValue="pCfbKurHmNROSNkpJbdl6g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9</v>
      </c>
      <c r="C8" s="117"/>
      <c r="D8" s="117"/>
      <c r="E8" s="117"/>
      <c r="F8" s="117"/>
      <c r="G8" s="117"/>
      <c r="H8" s="118"/>
      <c r="I8" s="1"/>
    </row>
    <row r="9" spans="1:9" x14ac:dyDescent="0.25">
      <c r="A9" s="1"/>
      <c r="B9" s="113" t="s">
        <v>105</v>
      </c>
      <c r="C9" s="114"/>
      <c r="D9" s="114"/>
      <c r="E9" s="114"/>
      <c r="F9" s="115"/>
      <c r="G9" s="44">
        <v>7.0488919982738098E-3</v>
      </c>
      <c r="H9" s="14"/>
      <c r="I9" s="1"/>
    </row>
    <row r="10" spans="1:9" x14ac:dyDescent="0.25">
      <c r="A10" s="1"/>
      <c r="B10" s="113" t="s">
        <v>141</v>
      </c>
      <c r="C10" s="114"/>
      <c r="D10" s="114"/>
      <c r="E10" s="114"/>
      <c r="F10" s="115"/>
      <c r="G10" s="44">
        <v>1.0968366368444999E-2</v>
      </c>
      <c r="H10" s="14"/>
      <c r="I10" s="1"/>
    </row>
    <row r="11" spans="1:9" x14ac:dyDescent="0.25">
      <c r="A11" s="1"/>
      <c r="B11" s="56"/>
      <c r="C11" s="57"/>
      <c r="D11" s="57"/>
      <c r="E11" s="57"/>
      <c r="F11" s="57"/>
      <c r="G11" s="57"/>
      <c r="H11" s="20"/>
      <c r="I11" s="1"/>
    </row>
    <row r="12" spans="1:9" ht="14.25" customHeight="1" x14ac:dyDescent="0.25">
      <c r="A12" s="1"/>
      <c r="B12" s="125" t="s">
        <v>191</v>
      </c>
      <c r="C12" s="126"/>
      <c r="D12" s="126"/>
      <c r="E12" s="126"/>
      <c r="F12" s="126"/>
      <c r="G12" s="126"/>
      <c r="H12" s="127"/>
      <c r="I12" s="1"/>
    </row>
    <row r="13" spans="1:9" ht="12.75" customHeight="1" x14ac:dyDescent="0.25">
      <c r="A13" s="18"/>
      <c r="B13" s="128"/>
      <c r="C13" s="129"/>
      <c r="D13" s="129"/>
      <c r="E13" s="129"/>
      <c r="F13" s="129"/>
      <c r="G13" s="129"/>
      <c r="H13" s="130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ZBREwB03/uaw0hvyq0NAizrX6EaHrn8T+RAyiwZbMA3rZFoiBp8QQHL8RToXpOsuHrSJjHGp5q5r90/sB4y2Q==" saltValue="2SC8/+Xr4A/oo3sF3g3mH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2021-09-07T12:22:48Z</dcterms:modified>
</cp:coreProperties>
</file>