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ovafos Spildevand Hørsholm AS (S05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G16" i="11" l="1"/>
  <c r="E16" i="11"/>
  <c r="E11" i="11"/>
  <c r="E12" i="11"/>
  <c r="E13" i="11"/>
  <c r="E16" i="40" l="1"/>
  <c r="E12" i="40"/>
  <c r="C14" i="19" l="1"/>
  <c r="E28" i="32" l="1"/>
  <c r="E32" i="32" l="1"/>
  <c r="C30" i="2" s="1"/>
  <c r="E38" i="32"/>
  <c r="E20" i="32"/>
  <c r="E12" i="32"/>
  <c r="E16" i="27" l="1"/>
  <c r="E17" i="27" s="1"/>
  <c r="E14" i="11" l="1"/>
  <c r="E15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6" i="11" l="1"/>
  <c r="C10" i="37" s="1"/>
  <c r="C13" i="37" s="1"/>
  <c r="C14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0" i="37"/>
  <c r="E13" i="37" s="1"/>
  <c r="E14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<sst xmlns="http://schemas.openxmlformats.org/spreadsheetml/2006/main" count="706" uniqueCount="283">
  <si>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</si>
  <si>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</si>
  <si>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</si>
  <si>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</si>
  <si>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</si>
  <si>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</si>
  <si>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</si>
  <si>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</si>
  <si>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</si>
  <si>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</si>
  <si>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</si>
  <si>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</si>
  <si>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</si>
  <si>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</si>
  <si>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</si>
  <si>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</si>
  <si>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</si>
  <si>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</si>
  <si>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</si>
  <si>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</si>
  <si>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</si>
  <si>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</si>
  <si>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</si>
  <si>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</si>
  <si>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</si>
  <si>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</si>
  <si>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</si>
  <si>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</si>
  <si>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</si>
  <si>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</si>
  <si>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</si>
  <si>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</si>
  <si>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</si>
  <si>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</si>
  <si>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</si>
  <si>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</si>
  <si>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</si>
  <si>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</si>
  <si>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</si>
  <si>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</si>
  <si>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</si>
  <si>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</si>
  <si>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</si>
  <si>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</si>
  <si>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</si>
  <si>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</si>
  <si>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</si>
  <si>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</si>
  <si>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</si>
  <si>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</si>
  <si>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</si>
  <si>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</si>
  <si>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</si>
  <si>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</si>
  <si>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</si>
  <si>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</si>
  <si>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</si>
  <si>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</si>
  <si>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</si>
  <si>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</si>
  <si>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</si>
  <si>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</si>
  <si>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</si>
  <si>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</si>
  <si>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</si>
  <si>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</si>
  <si>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</si>
  <si>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</si>
  <si>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</si>
  <si>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</si>
  <si>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</si>
  <si>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</si>
  <si>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</si>
  <si>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</si>
  <si>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</si>
  <si>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</si>
  <si>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</si>
  <si>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</si>
  <si>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</si>
  <si>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</si>
  <si>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</si>
  <si>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</si>
  <si>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</si>
  <si>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</si>
  <si>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</si>
  <si>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</si>
  <si>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</si>
  <si>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</si>
  <si>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</si>
  <si>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</si>
  <si>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</si>
  <si>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</si>
  <si>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</si>
  <si>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</si>
  <si>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</si>
  <si>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</si>
  <si>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</si>
  <si>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</si>
  <si>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</si>
  <si>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</si>
  <si>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</si>
  <si>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</si>
  <si>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</si>
  <si>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</si>
  <si>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</si>
  <si>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</si>
  <si>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</si>
  <si>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</si>
  <si>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</si>
  <si>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</si>
  <si>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</si>
  <si>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</si>
  <si>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</si>
  <si>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</si>
  <si>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</si>
  <si>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</si>
  <si>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</si>
  <si>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</si>
  <si>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</si>
  <si>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</si>
  <si>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</si>
  <si>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</si>
  <si>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</si>
  <si>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</si>
  <si>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</si>
  <si>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</si>
  <si>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</si>
  <si>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</si>
  <si>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</si>
  <si>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</si>
  <si>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</si>
  <si>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</si>
  <si>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</si>
  <si>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</si>
  <si>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</si>
  <si>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</si>
  <si>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</si>
  <si>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</si>
  <si>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</si>
  <si>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</si>
  <si>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</si>
  <si>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</si>
  <si>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</si>
  <si>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</si>
  <si>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</si>
  <si>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</si>
  <si>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</si>
  <si>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</si>
  <si>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</si>
  <si>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</si>
  <si>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</si>
  <si>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</si>
  <si>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</si>
  <si>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</si>
  <si>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</si>
  <si>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</si>
  <si>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</si>
  <si>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</si>
  <si>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</si>
  <si>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</si>
  <si>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</si>
  <si>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</si>
  <si>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</si>
  <si>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</si>
  <si>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</si>
  <si>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</si>
  <si>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</si>
  <si>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</si>
  <si>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</si>
  <si>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</si>
  <si>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</si>
  <si>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</si>
  <si>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</si>
  <si>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</si>
  <si>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</si>
  <si>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</si>
  <si>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</si>
  <si>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</si>
  <si>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</si>
  <si>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</si>
  <si>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</si>
  <si>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</si>
  <si>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</si>
  <si>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</si>
  <si>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</si>
  <si>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</si>
  <si>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</si>
  <si>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</si>
  <si>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</si>
  <si>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</si>
  <si>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</si>
  <si>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</si>
  <si>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</si>
  <si>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</si>
  <si>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</si>
  <si>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</si>
  <si>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</si>
  <si>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</si>
  <si>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</si>
  <si>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</si>
  <si>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</si>
  <si>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</si>
  <si>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</si>
  <si>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</si>
  <si>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</si>
  <si>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</si>
  <si>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</si>
  <si>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</si>
  <si>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</si>
  <si>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</si>
  <si>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</si>
  <si>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</si>
  <si>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</si>
  <si>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</si>
  <si>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</si>
  <si>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</si>
  <si>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</si>
  <si>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</si>
  <si>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</si>
  <si>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</si>
  <si>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</si>
  <si>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</si>
  <si>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</si>
  <si>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</si>
  <si>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</si>
  <si>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</si>
  <si>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</si>
  <si>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</si>
  <si>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</si>
  <si>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</si>
  <si>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</si>
  <si>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</si>
  <si>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</si>
  <si>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</si>
  <si>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</si>
  <si>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</si>
  <si>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</si>
  <si>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</si>
  <si>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</si>
  <si>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</si>
  <si>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</si>
  <si>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</si>
  <si>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</si>
  <si>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</si>
  <si>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</si>
  <si>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</si>
  <si>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</si>
  <si>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</si>
  <si>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</si>
  <si>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</si>
  <si>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</si>
  <si>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</si>
  <si>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</si>
  <si>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</si>
  <si>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</si>
  <si>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</si>
  <si>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</si>
  <si>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</si>
  <si>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</si>
  <si>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</si>
  <si>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</si>
  <si>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</si>
  <si>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</si>
  <si>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</si>
  <si>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</si>
  <si>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</si>
  <si>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</si>
  <si>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</si>
  <si>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</si>
  <si>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tilknyttet virksomhed</t>
  </si>
  <si>
    <t>Ingen bortfald eller nedsættelse</t>
  </si>
  <si>
    <t>Separatkloakeringer</t>
  </si>
  <si>
    <t>Nye tilslutninger</t>
  </si>
  <si>
    <t>Ingen engangstillæg</t>
  </si>
  <si>
    <t>Stik</t>
  </si>
  <si>
    <t>75</t>
  </si>
  <si>
    <t>Ø 200 mm &lt; Ledningsnet ≤ Ø 500 mm</t>
  </si>
  <si>
    <t>Ø 500 mm &lt; Ledningsnet ≤ Ø 800 mm</t>
  </si>
  <si>
    <t>Ledningsnet &gt; Ø 1600 mm (rørbassiner og transportledninger)</t>
  </si>
  <si>
    <t>Brønde</t>
  </si>
  <si>
    <t>Ledningsnet ≤ Ø 200 mm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</si>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</sst>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4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4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4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4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4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4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4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4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4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4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4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4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4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4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4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4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4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4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5" t="s">
        <v>165</v>
      </c>
      <c r="C3" s="75"/>
      <c r="D3" s="75"/>
      <c r="E3" s="1"/>
      <c r="F3" s="1"/>
    </row>
    <row r="4" spans="1:6" ht="15" customHeight="1" x14ac:dyDescent="0.45">
      <c r="A4" s="1"/>
      <c r="B4" s="75"/>
      <c r="C4" s="75"/>
      <c r="D4" s="75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6" t="s">
        <v>196</v>
      </c>
      <c r="C8" s="87"/>
      <c r="D8" s="88"/>
      <c r="E8" s="1"/>
      <c r="F8" s="1"/>
    </row>
    <row r="9" spans="1:6" ht="15" customHeight="1" x14ac:dyDescent="0.4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45">
      <c r="A10" s="1"/>
      <c r="B10" s="54" t="s">
        <v>265</v>
      </c>
      <c r="C10" s="9">
        <v>1373112</v>
      </c>
      <c r="D10" s="14" t="s">
        <v>3</v>
      </c>
      <c r="E10" s="1"/>
      <c r="F10" s="1"/>
    </row>
    <row r="11" spans="1:6" x14ac:dyDescent="0.45">
      <c r="A11" s="1"/>
      <c r="B11" s="54" t="s">
        <v>266</v>
      </c>
      <c r="C11" s="9">
        <v>42494</v>
      </c>
      <c r="D11" s="14" t="s">
        <v>3</v>
      </c>
      <c r="E11" s="1"/>
      <c r="F11" s="1"/>
    </row>
    <row r="12" spans="1:6" x14ac:dyDescent="0.45">
      <c r="A12" s="1"/>
      <c r="B12" s="54" t="s">
        <v>267</v>
      </c>
      <c r="C12" s="9">
        <v>407334</v>
      </c>
      <c r="D12" s="14" t="s">
        <v>3</v>
      </c>
      <c r="E12" s="1"/>
      <c r="F12" s="1"/>
    </row>
    <row r="13" spans="1:6" x14ac:dyDescent="0.45">
      <c r="A13" s="1"/>
      <c r="B13" s="54" t="s">
        <v>268</v>
      </c>
      <c r="C13" s="9">
        <v>108387</v>
      </c>
      <c r="D13" s="14" t="s">
        <v>3</v>
      </c>
      <c r="E13" s="1"/>
      <c r="F13" s="1"/>
    </row>
    <row r="14" spans="1:6" x14ac:dyDescent="0.45">
      <c r="A14" s="1"/>
      <c r="B14" s="38" t="s">
        <v>198</v>
      </c>
      <c r="C14" s="12">
        <f>SUM(C10:C13)</f>
        <v>1931327</v>
      </c>
      <c r="D14" s="13" t="s">
        <v>3</v>
      </c>
      <c r="E14" s="1"/>
      <c r="F14" s="1"/>
    </row>
    <row r="15" spans="1:6" x14ac:dyDescent="0.45">
      <c r="A15" s="1"/>
      <c r="B15" s="38" t="s">
        <v>199</v>
      </c>
      <c r="C15" s="12">
        <f>C14*(1+'Fane 14. Nøgletal'!C13)^2</f>
        <v>1978738.8375106801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86" t="s">
        <v>178</v>
      </c>
      <c r="C18" s="87"/>
      <c r="D18" s="88"/>
      <c r="E18" s="1"/>
      <c r="F18" s="1"/>
    </row>
    <row r="19" spans="1:6" x14ac:dyDescent="0.45">
      <c r="A19" s="1"/>
      <c r="B19" s="54" t="s">
        <v>147</v>
      </c>
      <c r="C19" s="9">
        <v>583000</v>
      </c>
      <c r="D19" s="14" t="s">
        <v>3</v>
      </c>
      <c r="E19" s="1"/>
      <c r="F19" s="1"/>
    </row>
    <row r="20" spans="1:6" x14ac:dyDescent="0.45">
      <c r="A20" s="1"/>
      <c r="B20" s="54" t="s">
        <v>148</v>
      </c>
      <c r="C20" s="9">
        <v>585354</v>
      </c>
      <c r="D20" s="14" t="s">
        <v>3</v>
      </c>
      <c r="E20" s="1"/>
      <c r="F20" s="1"/>
    </row>
    <row r="21" spans="1:6" x14ac:dyDescent="0.45">
      <c r="A21" s="1"/>
      <c r="B21" s="54" t="s">
        <v>149</v>
      </c>
      <c r="C21" s="9">
        <v>587761</v>
      </c>
      <c r="D21" s="14" t="s">
        <v>3</v>
      </c>
      <c r="E21" s="1"/>
      <c r="F21" s="1"/>
    </row>
    <row r="22" spans="1:6" x14ac:dyDescent="0.45">
      <c r="A22" s="1"/>
      <c r="B22" s="54" t="s">
        <v>200</v>
      </c>
      <c r="C22" s="9">
        <v>590222</v>
      </c>
      <c r="D22" s="14" t="s">
        <v>3</v>
      </c>
      <c r="E22" s="1"/>
      <c r="F22" s="1"/>
    </row>
    <row r="23" spans="1:6" x14ac:dyDescent="0.45">
      <c r="A23" s="1"/>
      <c r="B23" s="86"/>
      <c r="C23" s="87"/>
      <c r="D23" s="88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86" t="s">
        <v>146</v>
      </c>
      <c r="C26" s="87"/>
      <c r="D26" s="88"/>
      <c r="E26" s="1"/>
      <c r="F26" s="1"/>
    </row>
    <row r="27" spans="1:6" x14ac:dyDescent="0.45">
      <c r="A27" s="1"/>
      <c r="B27" s="54" t="s">
        <v>147</v>
      </c>
      <c r="C27" s="9">
        <v>3533333</v>
      </c>
      <c r="D27" s="14" t="s">
        <v>3</v>
      </c>
      <c r="E27" s="1"/>
      <c r="F27" s="1"/>
    </row>
    <row r="28" spans="1:6" x14ac:dyDescent="0.45">
      <c r="A28" s="1"/>
      <c r="B28" s="54" t="s">
        <v>148</v>
      </c>
      <c r="C28" s="9">
        <v>3533333</v>
      </c>
      <c r="D28" s="14" t="s">
        <v>3</v>
      </c>
      <c r="E28" s="1"/>
      <c r="F28" s="1"/>
    </row>
    <row r="29" spans="1:6" x14ac:dyDescent="0.45">
      <c r="A29" s="1"/>
      <c r="B29" s="54" t="s">
        <v>149</v>
      </c>
      <c r="C29" s="9">
        <v>3533334</v>
      </c>
      <c r="D29" s="14" t="s">
        <v>3</v>
      </c>
      <c r="E29" s="1"/>
      <c r="F29" s="1"/>
    </row>
    <row r="30" spans="1:6" x14ac:dyDescent="0.4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86"/>
      <c r="C31" s="87"/>
      <c r="D31" s="88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ht="15" customHeight="1" x14ac:dyDescent="0.45">
      <c r="A5" s="1"/>
      <c r="B5" s="52"/>
      <c r="C5" s="52"/>
      <c r="D5" s="52"/>
      <c r="E5" s="52"/>
      <c r="F5" s="52"/>
      <c r="G5" s="1"/>
    </row>
    <row r="6" spans="1:7" ht="15" customHeight="1" x14ac:dyDescent="0.45">
      <c r="A6" s="1"/>
      <c r="B6" s="52"/>
      <c r="C6" s="52"/>
      <c r="D6" s="52"/>
      <c r="E6" s="52"/>
      <c r="F6" s="52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6" t="s">
        <v>137</v>
      </c>
      <c r="C8" s="87"/>
      <c r="D8" s="87"/>
      <c r="E8" s="87"/>
      <c r="F8" s="88"/>
      <c r="G8" s="1"/>
    </row>
    <row r="9" spans="1:7" x14ac:dyDescent="0.45">
      <c r="A9" s="1"/>
      <c r="B9" s="92" t="s">
        <v>138</v>
      </c>
      <c r="C9" s="93"/>
      <c r="D9" s="94"/>
      <c r="E9" s="9">
        <v>46160627.962647237</v>
      </c>
      <c r="F9" s="14" t="s">
        <v>3</v>
      </c>
      <c r="G9" s="1"/>
    </row>
    <row r="10" spans="1:7" x14ac:dyDescent="0.45">
      <c r="A10" s="1"/>
      <c r="B10" s="92" t="s">
        <v>139</v>
      </c>
      <c r="C10" s="93"/>
      <c r="D10" s="94"/>
      <c r="E10" s="9">
        <v>44831543</v>
      </c>
      <c r="F10" s="14" t="s">
        <v>3</v>
      </c>
      <c r="G10" s="1"/>
    </row>
    <row r="11" spans="1:7" x14ac:dyDescent="0.4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45">
      <c r="A12" s="1"/>
      <c r="B12" s="90" t="s">
        <v>140</v>
      </c>
      <c r="C12" s="91"/>
      <c r="D12" s="101"/>
      <c r="E12" s="10">
        <f>E9-(E10-E11)</f>
        <v>1329084.9626472369</v>
      </c>
      <c r="F12" s="17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27" customHeight="1" x14ac:dyDescent="0.4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86" t="s">
        <v>52</v>
      </c>
      <c r="C16" s="87"/>
      <c r="D16" s="87"/>
      <c r="E16" s="87"/>
      <c r="F16" s="88"/>
      <c r="G16" s="1"/>
    </row>
    <row r="17" spans="1:7" x14ac:dyDescent="0.45">
      <c r="A17" s="1"/>
      <c r="B17" s="92" t="s">
        <v>53</v>
      </c>
      <c r="C17" s="93"/>
      <c r="D17" s="94"/>
      <c r="E17" s="9">
        <v>49433494.280960128</v>
      </c>
      <c r="F17" s="14" t="s">
        <v>3</v>
      </c>
      <c r="G17" s="1"/>
    </row>
    <row r="18" spans="1:7" x14ac:dyDescent="0.45">
      <c r="A18" s="1"/>
      <c r="B18" s="92" t="s">
        <v>54</v>
      </c>
      <c r="C18" s="93"/>
      <c r="D18" s="94"/>
      <c r="E18" s="9">
        <v>48381856</v>
      </c>
      <c r="F18" s="14" t="s">
        <v>3</v>
      </c>
      <c r="G18" s="1"/>
    </row>
    <row r="19" spans="1:7" x14ac:dyDescent="0.4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45">
      <c r="A20" s="1"/>
      <c r="B20" s="90" t="s">
        <v>55</v>
      </c>
      <c r="C20" s="91"/>
      <c r="D20" s="101"/>
      <c r="E20" s="10">
        <f>E17-(E18-E19)</f>
        <v>1051638.2809601277</v>
      </c>
      <c r="F20" s="17" t="s">
        <v>3</v>
      </c>
      <c r="G20" s="1"/>
    </row>
    <row r="21" spans="1:7" x14ac:dyDescent="0.45">
      <c r="A21" s="1"/>
      <c r="B21" s="38"/>
      <c r="C21" s="32"/>
      <c r="D21" s="32"/>
      <c r="E21" s="32"/>
      <c r="F21" s="20"/>
      <c r="G21" s="1"/>
    </row>
    <row r="22" spans="1:7" ht="28.5" customHeight="1" x14ac:dyDescent="0.4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86" t="s">
        <v>245</v>
      </c>
      <c r="C24" s="87"/>
      <c r="D24" s="87"/>
      <c r="E24" s="87"/>
      <c r="F24" s="88"/>
      <c r="G24" s="1"/>
    </row>
    <row r="25" spans="1:7" x14ac:dyDescent="0.45">
      <c r="A25" s="1"/>
      <c r="B25" s="92" t="s">
        <v>246</v>
      </c>
      <c r="C25" s="93"/>
      <c r="D25" s="94"/>
      <c r="E25" s="9">
        <v>39053412.550422736</v>
      </c>
      <c r="F25" s="14" t="s">
        <v>3</v>
      </c>
      <c r="G25" s="1"/>
    </row>
    <row r="26" spans="1:7" x14ac:dyDescent="0.45">
      <c r="A26" s="1"/>
      <c r="B26" s="92" t="s">
        <v>247</v>
      </c>
      <c r="C26" s="93"/>
      <c r="D26" s="94"/>
      <c r="E26" s="9">
        <v>35667991</v>
      </c>
      <c r="F26" s="14" t="s">
        <v>3</v>
      </c>
      <c r="G26" s="1"/>
    </row>
    <row r="27" spans="1:7" x14ac:dyDescent="0.4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45">
      <c r="A28" s="1"/>
      <c r="B28" s="90" t="s">
        <v>248</v>
      </c>
      <c r="C28" s="91"/>
      <c r="D28" s="101"/>
      <c r="E28" s="10">
        <f>E25-(E26-E27)</f>
        <v>3385421.5504227355</v>
      </c>
      <c r="F28" s="17" t="s">
        <v>3</v>
      </c>
      <c r="G28" s="1"/>
    </row>
    <row r="29" spans="1:7" x14ac:dyDescent="0.45">
      <c r="A29" s="1"/>
      <c r="B29" s="38"/>
      <c r="C29" s="32"/>
      <c r="D29" s="32"/>
      <c r="E29" s="32"/>
      <c r="F29" s="20"/>
      <c r="G29" s="1"/>
    </row>
    <row r="30" spans="1:7" ht="28.5" customHeight="1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86" t="s">
        <v>250</v>
      </c>
      <c r="C31" s="87"/>
      <c r="D31" s="87"/>
      <c r="E31" s="87"/>
      <c r="F31" s="88"/>
      <c r="G31" s="1"/>
    </row>
    <row r="32" spans="1:7" x14ac:dyDescent="0.4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45">
      <c r="A33" s="1"/>
      <c r="B33" s="86"/>
      <c r="C33" s="87"/>
      <c r="D33" s="87"/>
      <c r="E33" s="87"/>
      <c r="F33" s="88"/>
      <c r="G33" s="1"/>
    </row>
    <row r="34" spans="1:7" ht="28.5" customHeight="1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86" t="s">
        <v>249</v>
      </c>
      <c r="C35" s="87"/>
      <c r="D35" s="87"/>
      <c r="E35" s="87"/>
      <c r="F35" s="88"/>
      <c r="G35" s="1"/>
    </row>
    <row r="36" spans="1:7" x14ac:dyDescent="0.45">
      <c r="A36" s="1"/>
      <c r="B36" s="102" t="s">
        <v>281</v>
      </c>
      <c r="C36" s="103"/>
      <c r="D36" s="104"/>
      <c r="E36" s="9">
        <v>1</v>
      </c>
      <c r="F36" s="14"/>
      <c r="G36" s="1"/>
    </row>
    <row r="37" spans="1:7" x14ac:dyDescent="0.45">
      <c r="A37" s="1"/>
      <c r="B37" s="102" t="s">
        <v>282</v>
      </c>
      <c r="C37" s="103"/>
      <c r="D37" s="104"/>
      <c r="E37" s="9">
        <v>1</v>
      </c>
      <c r="F37" s="14"/>
      <c r="G37" s="1"/>
    </row>
    <row r="38" spans="1:7" x14ac:dyDescent="0.4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4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4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45">
      <c r="A41" s="1"/>
      <c r="B41" s="105"/>
      <c r="C41" s="106"/>
      <c r="D41" s="106"/>
      <c r="E41" s="106"/>
      <c r="F41" s="107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7" spans="1:7" x14ac:dyDescent="0.45">
      <c r="A47" s="42"/>
      <c r="B47" s="42"/>
      <c r="C47" s="42"/>
      <c r="D47" s="42"/>
      <c r="E47" s="42"/>
      <c r="F47" s="42"/>
      <c r="G47" s="42"/>
    </row>
    <row r="48" spans="1:7" x14ac:dyDescent="0.45">
      <c r="A48" s="42"/>
      <c r="B48" s="42"/>
      <c r="C48" s="42"/>
      <c r="D48" s="42"/>
      <c r="E48" s="42"/>
      <c r="F48" s="42"/>
      <c r="G48" s="42"/>
    </row>
    <row r="49" spans="1:7" x14ac:dyDescent="0.45">
      <c r="A49" s="42"/>
      <c r="B49" s="42"/>
      <c r="C49" s="42"/>
      <c r="D49" s="42"/>
      <c r="E49" s="42"/>
      <c r="F49" s="42"/>
      <c r="G49" s="42"/>
    </row>
    <row r="50" spans="1:7" x14ac:dyDescent="0.45">
      <c r="A50" s="42"/>
      <c r="B50" s="42"/>
      <c r="C50" s="42"/>
      <c r="D50" s="42"/>
      <c r="E50" s="42"/>
      <c r="F50" s="42"/>
      <c r="G50" s="42"/>
    </row>
    <row r="51" spans="1:7" x14ac:dyDescent="0.45">
      <c r="A51" s="42"/>
      <c r="B51" s="42"/>
      <c r="C51" s="42"/>
      <c r="D51" s="42"/>
      <c r="E51" s="42"/>
      <c r="F51" s="42"/>
      <c r="G51" s="42"/>
    </row>
    <row r="52" spans="1:7" x14ac:dyDescent="0.45">
      <c r="A52" s="42"/>
      <c r="B52" s="42"/>
      <c r="C52" s="42"/>
      <c r="D52" s="42"/>
      <c r="E52" s="42"/>
      <c r="F52" s="42"/>
      <c r="G52" s="42"/>
    </row>
    <row r="53" spans="1:7" x14ac:dyDescent="0.45">
      <c r="A53" s="42"/>
      <c r="B53" s="42"/>
      <c r="C53" s="42"/>
      <c r="D53" s="42"/>
      <c r="E53" s="42"/>
      <c r="F53" s="42"/>
      <c r="G53" s="42"/>
    </row>
    <row r="54" spans="1:7" x14ac:dyDescent="0.45">
      <c r="A54" s="42"/>
      <c r="B54" s="42"/>
      <c r="C54" s="42"/>
      <c r="D54" s="42"/>
      <c r="E54" s="42"/>
      <c r="F54" s="42"/>
      <c r="G54" s="42"/>
    </row>
    <row r="55" spans="1:7" x14ac:dyDescent="0.45">
      <c r="A55" s="42"/>
      <c r="B55" s="42"/>
      <c r="C55" s="42"/>
      <c r="D55" s="42"/>
      <c r="E55" s="42"/>
      <c r="F55" s="42"/>
      <c r="G55" s="42"/>
    </row>
    <row r="56" spans="1:7" x14ac:dyDescent="0.45">
      <c r="A56" s="42"/>
      <c r="B56" s="42"/>
      <c r="C56" s="42"/>
      <c r="D56" s="42"/>
      <c r="E56" s="42"/>
      <c r="F56" s="42"/>
      <c r="G56" s="42"/>
    </row>
    <row r="57" spans="1:7" x14ac:dyDescent="0.45">
      <c r="A57" s="42"/>
      <c r="B57" s="42"/>
      <c r="C57" s="42"/>
      <c r="D57" s="42"/>
      <c r="E57" s="42"/>
      <c r="F57" s="42"/>
      <c r="G57" s="42"/>
    </row>
    <row r="58" spans="1:7" x14ac:dyDescent="0.45">
      <c r="A58" s="42"/>
      <c r="B58" s="42"/>
      <c r="C58" s="42"/>
      <c r="D58" s="42"/>
      <c r="E58" s="42"/>
      <c r="F58" s="42"/>
      <c r="G58" s="42"/>
    </row>
    <row r="59" spans="1:7" x14ac:dyDescent="0.45">
      <c r="A59" s="42"/>
      <c r="B59" s="42"/>
      <c r="C59" s="42"/>
      <c r="D59" s="42"/>
      <c r="E59" s="42"/>
      <c r="F59" s="42"/>
      <c r="G59" s="42"/>
    </row>
    <row r="60" spans="1:7" x14ac:dyDescent="0.4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86" t="s">
        <v>202</v>
      </c>
      <c r="C9" s="87"/>
      <c r="D9" s="87"/>
      <c r="E9" s="87"/>
      <c r="F9" s="88"/>
      <c r="G9" s="1"/>
    </row>
    <row r="10" spans="1:7" x14ac:dyDescent="0.4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4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4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45">
      <c r="A13" s="1"/>
      <c r="B13" s="86" t="s">
        <v>134</v>
      </c>
      <c r="C13" s="87"/>
      <c r="D13" s="87"/>
      <c r="E13" s="87"/>
      <c r="F13" s="88"/>
      <c r="G13" s="1"/>
    </row>
    <row r="14" spans="1:7" x14ac:dyDescent="0.45">
      <c r="A14" s="1"/>
      <c r="B14" s="92" t="s">
        <v>204</v>
      </c>
      <c r="C14" s="93"/>
      <c r="D14" s="94"/>
      <c r="E14" s="9">
        <v>574094</v>
      </c>
      <c r="F14" s="8" t="s">
        <v>3</v>
      </c>
      <c r="G14" s="1"/>
    </row>
    <row r="15" spans="1:7" x14ac:dyDescent="0.45">
      <c r="A15" s="1"/>
      <c r="B15" s="77" t="s">
        <v>205</v>
      </c>
      <c r="C15" s="78"/>
      <c r="D15" s="79"/>
      <c r="E15" s="9">
        <v>560112</v>
      </c>
      <c r="F15" s="8" t="s">
        <v>3</v>
      </c>
      <c r="G15" s="1"/>
    </row>
    <row r="16" spans="1:7" x14ac:dyDescent="0.45">
      <c r="A16" s="1"/>
      <c r="B16" s="90" t="s">
        <v>151</v>
      </c>
      <c r="C16" s="91"/>
      <c r="D16" s="101"/>
      <c r="E16" s="10">
        <f>E15-E14</f>
        <v>-13982</v>
      </c>
      <c r="F16" s="11" t="s">
        <v>3</v>
      </c>
      <c r="G16" s="1"/>
    </row>
    <row r="17" spans="1:7" x14ac:dyDescent="0.45">
      <c r="A17" s="1"/>
      <c r="B17" s="38" t="s">
        <v>206</v>
      </c>
      <c r="C17" s="32"/>
      <c r="D17" s="32"/>
      <c r="E17" s="12">
        <f>E12+E16</f>
        <v>-13982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1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4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45">
      <c r="A10" s="1"/>
      <c r="B10" s="56" t="s">
        <v>274</v>
      </c>
      <c r="C10" s="112" t="s">
        <v>275</v>
      </c>
      <c r="D10" s="9">
        <v>1059284.71</v>
      </c>
      <c r="E10" s="9">
        <f>IFERROR(D10/C10,0)</f>
        <v>14123.796133333333</v>
      </c>
      <c r="F10" s="9">
        <v>0</v>
      </c>
      <c r="G10" s="9">
        <v>17266.34</v>
      </c>
      <c r="H10" s="14" t="s">
        <v>3</v>
      </c>
      <c r="I10" s="1"/>
    </row>
    <row r="11" spans="1:9" ht="26.65" x14ac:dyDescent="0.45">
      <c r="A11" s="1"/>
      <c r="B11" s="56" t="s">
        <v>276</v>
      </c>
      <c r="C11" s="112" t="s">
        <v>275</v>
      </c>
      <c r="D11" s="9">
        <v>4237138.84</v>
      </c>
      <c r="E11" s="9">
        <f t="shared" ref="E11:E13" si="0">IFERROR(D11/C11,0)</f>
        <v>56495.184533333333</v>
      </c>
      <c r="F11" s="9">
        <v>0</v>
      </c>
      <c r="G11" s="9">
        <v>69065.36</v>
      </c>
      <c r="H11" s="14" t="s">
        <v>3</v>
      </c>
      <c r="I11" s="1"/>
    </row>
    <row r="12" spans="1:9" ht="26.65" x14ac:dyDescent="0.45">
      <c r="A12" s="1"/>
      <c r="B12" s="56" t="s">
        <v>277</v>
      </c>
      <c r="C12" s="112" t="s">
        <v>275</v>
      </c>
      <c r="D12" s="9">
        <v>2648211.77</v>
      </c>
      <c r="E12" s="9">
        <f t="shared" si="0"/>
        <v>35309.490266666668</v>
      </c>
      <c r="F12" s="9">
        <v>0</v>
      </c>
      <c r="G12" s="9">
        <v>43165.85</v>
      </c>
      <c r="H12" s="14" t="s">
        <v>3</v>
      </c>
      <c r="I12" s="1"/>
    </row>
    <row r="13" spans="1:9" ht="39.75" x14ac:dyDescent="0.45">
      <c r="A13" s="1"/>
      <c r="B13" s="56" t="s">
        <v>278</v>
      </c>
      <c r="C13" s="112" t="s">
        <v>275</v>
      </c>
      <c r="D13" s="9">
        <v>1588927.06</v>
      </c>
      <c r="E13" s="9">
        <f t="shared" si="0"/>
        <v>21185.694133333334</v>
      </c>
      <c r="F13" s="9">
        <v>0</v>
      </c>
      <c r="G13" s="9">
        <v>25899.51</v>
      </c>
      <c r="H13" s="14" t="s">
        <v>3</v>
      </c>
      <c r="I13" s="1"/>
    </row>
    <row r="14" spans="1:9" x14ac:dyDescent="0.45">
      <c r="A14" s="1"/>
      <c r="B14" s="56" t="s">
        <v>279</v>
      </c>
      <c r="C14" s="112" t="s">
        <v>275</v>
      </c>
      <c r="D14" s="9">
        <v>1050860.17</v>
      </c>
      <c r="E14" s="9">
        <f t="shared" ref="E14:E15" si="1">IFERROR(D14/C14,0)</f>
        <v>14011.468933333332</v>
      </c>
      <c r="F14" s="9">
        <v>0</v>
      </c>
      <c r="G14" s="9">
        <v>17129.02</v>
      </c>
      <c r="H14" s="14" t="s">
        <v>3</v>
      </c>
      <c r="I14" s="1"/>
    </row>
    <row r="15" spans="1:9" x14ac:dyDescent="0.45">
      <c r="A15" s="1"/>
      <c r="B15" s="56" t="s">
        <v>280</v>
      </c>
      <c r="C15" s="112" t="s">
        <v>275</v>
      </c>
      <c r="D15" s="9">
        <v>828421.23</v>
      </c>
      <c r="E15" s="9">
        <f t="shared" si="1"/>
        <v>11045.616399999999</v>
      </c>
      <c r="F15" s="9">
        <v>0</v>
      </c>
      <c r="G15" s="9">
        <v>13503.27</v>
      </c>
      <c r="H15" s="14" t="s">
        <v>3</v>
      </c>
      <c r="I15" s="1"/>
    </row>
    <row r="16" spans="1:9" x14ac:dyDescent="0.45">
      <c r="A16" s="1"/>
      <c r="B16" s="86" t="s">
        <v>238</v>
      </c>
      <c r="C16" s="87"/>
      <c r="D16" s="88"/>
      <c r="E16" s="12">
        <f>SUM(E10:E15)</f>
        <v>152171.25039999999</v>
      </c>
      <c r="F16" s="12">
        <f t="shared" ref="F16" si="2">SUM(F10:F15)</f>
        <v>0</v>
      </c>
      <c r="G16" s="12">
        <f>SUM(G10:G15)</f>
        <v>186029.34999999998</v>
      </c>
      <c r="H16" s="13" t="s">
        <v>3</v>
      </c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6:D16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4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45">
      <c r="A10" s="1"/>
      <c r="B10" s="25" t="s">
        <v>239</v>
      </c>
      <c r="C10" s="22">
        <f>'Fane 9. Anlægsprojekter'!F16</f>
        <v>0</v>
      </c>
      <c r="D10" s="14" t="s">
        <v>3</v>
      </c>
      <c r="E10" s="9">
        <f>SUM('Fane 9. Anlægsprojekter'!E16,'Fane 9. Anlægsprojekter'!G16)</f>
        <v>338200.6004</v>
      </c>
      <c r="F10" s="14" t="s">
        <v>3</v>
      </c>
      <c r="G10" s="1"/>
    </row>
    <row r="11" spans="1:7" x14ac:dyDescent="0.45">
      <c r="A11" s="1"/>
      <c r="B11" s="113" t="s">
        <v>271</v>
      </c>
      <c r="C11" s="22">
        <v>0</v>
      </c>
      <c r="D11" s="14" t="s">
        <v>3</v>
      </c>
      <c r="E11" s="9">
        <v>425480</v>
      </c>
      <c r="F11" s="14" t="s">
        <v>3</v>
      </c>
      <c r="G11" s="1"/>
    </row>
    <row r="12" spans="1:7" x14ac:dyDescent="0.45">
      <c r="A12" s="1"/>
      <c r="B12" s="25" t="s">
        <v>272</v>
      </c>
      <c r="C12" s="22">
        <v>13825</v>
      </c>
      <c r="D12" s="14" t="s">
        <v>3</v>
      </c>
      <c r="E12" s="9">
        <v>12734</v>
      </c>
      <c r="F12" s="14" t="s">
        <v>3</v>
      </c>
      <c r="G12" s="1"/>
    </row>
    <row r="13" spans="1:7" x14ac:dyDescent="0.45">
      <c r="A13" s="1"/>
      <c r="B13" s="38" t="s">
        <v>50</v>
      </c>
      <c r="C13" s="12">
        <f>SUM(C10:C12)</f>
        <v>13825</v>
      </c>
      <c r="D13" s="13" t="s">
        <v>3</v>
      </c>
      <c r="E13" s="12">
        <f>SUM(E10:E12)</f>
        <v>776414.6004</v>
      </c>
      <c r="F13" s="13" t="s">
        <v>3</v>
      </c>
      <c r="G13" s="1"/>
    </row>
    <row r="14" spans="1:7" x14ac:dyDescent="0.45">
      <c r="A14" s="1"/>
      <c r="B14" s="38" t="s">
        <v>219</v>
      </c>
      <c r="C14" s="12">
        <f>C13*(1+'Fane 14. Nøgletal'!C13)</f>
        <v>13993.664999999999</v>
      </c>
      <c r="D14" s="13" t="s">
        <v>3</v>
      </c>
      <c r="E14" s="12">
        <f>E13*(1+'Fane 14. Nøgletal'!C13)</f>
        <v>785886.85852488002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6" t="s">
        <v>141</v>
      </c>
      <c r="C8" s="87"/>
      <c r="D8" s="87"/>
      <c r="E8" s="87"/>
      <c r="F8" s="88"/>
      <c r="G8" s="1"/>
    </row>
    <row r="9" spans="1:7" x14ac:dyDescent="0.4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45">
      <c r="A10" s="1"/>
      <c r="B10" s="25" t="s">
        <v>273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4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4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86" t="s">
        <v>142</v>
      </c>
      <c r="C16" s="87"/>
      <c r="D16" s="87"/>
      <c r="E16" s="87"/>
      <c r="F16" s="88"/>
      <c r="G16" s="1"/>
    </row>
    <row r="17" spans="1:7" x14ac:dyDescent="0.4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45">
      <c r="A18" s="1"/>
      <c r="B18" s="25" t="s">
        <v>273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4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4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86" t="s">
        <v>143</v>
      </c>
      <c r="C24" s="87"/>
      <c r="D24" s="87"/>
      <c r="E24" s="87"/>
      <c r="F24" s="88"/>
      <c r="G24" s="1"/>
    </row>
    <row r="25" spans="1:7" x14ac:dyDescent="0.4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45">
      <c r="A26" s="1"/>
      <c r="B26" s="25" t="s">
        <v>273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4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4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6" t="s">
        <v>223</v>
      </c>
      <c r="C32" s="87"/>
      <c r="D32" s="87"/>
      <c r="E32" s="87"/>
      <c r="F32" s="88"/>
      <c r="G32" s="1"/>
    </row>
    <row r="33" spans="1:7" x14ac:dyDescent="0.4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45">
      <c r="A34" s="1"/>
      <c r="B34" s="25" t="s">
        <v>273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4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4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y/JycgDiTV3SEieR5ypRZ7SJ7q2MBis3CrjBYOxzHJMIgksWNu4de8WI7l8SSGLNR0IALNyNGjbM57bsVpGg==" saltValue="PThdSkxS6NSo1TwsxIs+U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89"/>
      <c r="C5" s="89"/>
      <c r="D5" s="89"/>
      <c r="E5" s="89"/>
      <c r="F5" s="89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6" t="s">
        <v>125</v>
      </c>
      <c r="C8" s="87"/>
      <c r="D8" s="87"/>
      <c r="E8" s="87"/>
      <c r="F8" s="88"/>
      <c r="G8" s="1"/>
    </row>
    <row r="9" spans="1:7" x14ac:dyDescent="0.4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4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45">
      <c r="A11" s="1"/>
      <c r="B11" s="80" t="s">
        <v>29</v>
      </c>
      <c r="C11" s="81"/>
      <c r="D11" s="82"/>
      <c r="E11" s="9">
        <f>-E9*'Fane 14. Nøgletal'!C27</f>
        <v>0</v>
      </c>
      <c r="F11" s="14" t="s">
        <v>3</v>
      </c>
      <c r="G11" s="1"/>
    </row>
    <row r="12" spans="1:7" x14ac:dyDescent="0.45">
      <c r="A12" s="1"/>
      <c r="B12" s="86" t="s">
        <v>128</v>
      </c>
      <c r="C12" s="87"/>
      <c r="D12" s="88"/>
      <c r="E12" s="12">
        <f>SUM(E9:E11)*(1+'Fane 14. Nøgletal'!C13)^2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6" t="s">
        <v>126</v>
      </c>
      <c r="C14" s="87"/>
      <c r="D14" s="87"/>
      <c r="E14" s="87"/>
      <c r="F14" s="88"/>
      <c r="G14" s="1"/>
    </row>
    <row r="15" spans="1:7" x14ac:dyDescent="0.4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4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45">
      <c r="A17" s="1"/>
      <c r="B17" s="80" t="s">
        <v>29</v>
      </c>
      <c r="C17" s="81"/>
      <c r="D17" s="82"/>
      <c r="E17" s="9">
        <f>-E15*'Fane 14. Nøgletal'!C27</f>
        <v>0</v>
      </c>
      <c r="F17" s="14" t="s">
        <v>3</v>
      </c>
      <c r="G17" s="1"/>
    </row>
    <row r="18" spans="1:7" x14ac:dyDescent="0.45">
      <c r="A18" s="1"/>
      <c r="B18" s="86" t="s">
        <v>129</v>
      </c>
      <c r="C18" s="87"/>
      <c r="D18" s="88"/>
      <c r="E18" s="12">
        <f>SUM(E15:E17)*(1+'Fane 14. Nøgletal'!C13)^3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6" t="s">
        <v>127</v>
      </c>
      <c r="C20" s="87"/>
      <c r="D20" s="87"/>
      <c r="E20" s="87"/>
      <c r="F20" s="88"/>
      <c r="G20" s="1"/>
    </row>
    <row r="21" spans="1:7" x14ac:dyDescent="0.4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4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45">
      <c r="A23" s="1"/>
      <c r="B23" s="80" t="s">
        <v>29</v>
      </c>
      <c r="C23" s="81"/>
      <c r="D23" s="82"/>
      <c r="E23" s="9">
        <f>-E21*'Fane 14. Nøgletal'!C27</f>
        <v>0</v>
      </c>
      <c r="F23" s="14" t="s">
        <v>3</v>
      </c>
      <c r="G23" s="1"/>
    </row>
    <row r="24" spans="1:7" x14ac:dyDescent="0.45">
      <c r="A24" s="1"/>
      <c r="B24" s="86" t="s">
        <v>130</v>
      </c>
      <c r="C24" s="87"/>
      <c r="D24" s="88"/>
      <c r="E24" s="12">
        <f>SUM(E21:E23)*(1+'Fane 14. Nøgletal'!C13)^4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6" t="s">
        <v>208</v>
      </c>
      <c r="C26" s="87"/>
      <c r="D26" s="87"/>
      <c r="E26" s="87"/>
      <c r="F26" s="88"/>
      <c r="G26" s="1"/>
    </row>
    <row r="27" spans="1:7" x14ac:dyDescent="0.4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4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45">
      <c r="A29" s="1"/>
      <c r="B29" s="80" t="s">
        <v>29</v>
      </c>
      <c r="C29" s="81"/>
      <c r="D29" s="82"/>
      <c r="E29" s="9">
        <f>-E27*'Fane 14. Nøgletal'!C27</f>
        <v>0</v>
      </c>
      <c r="F29" s="14" t="s">
        <v>3</v>
      </c>
      <c r="G29" s="1"/>
    </row>
    <row r="30" spans="1:7" x14ac:dyDescent="0.45">
      <c r="A30" s="1"/>
      <c r="B30" s="86" t="s">
        <v>209</v>
      </c>
      <c r="C30" s="87"/>
      <c r="D30" s="88"/>
      <c r="E30" s="12">
        <f>SUM(E27:E29)*(1+'Fane 14. Nøgletal'!C13)^5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4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4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4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6" t="s">
        <v>131</v>
      </c>
      <c r="C14" s="87"/>
      <c r="D14" s="87"/>
      <c r="E14" s="87"/>
      <c r="F14" s="88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4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6" t="s">
        <v>133</v>
      </c>
      <c r="C20" s="87"/>
      <c r="D20" s="87"/>
      <c r="E20" s="87"/>
      <c r="F20" s="88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4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6" t="s">
        <v>227</v>
      </c>
      <c r="C26" s="87"/>
      <c r="D26" s="87"/>
      <c r="E26" s="87"/>
      <c r="F26" s="88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4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9" t="s">
        <v>257</v>
      </c>
      <c r="C3" s="89"/>
      <c r="D3" s="1"/>
    </row>
    <row r="4" spans="1:4" ht="25.5" customHeight="1" x14ac:dyDescent="0.45">
      <c r="A4" s="1"/>
      <c r="B4" s="89"/>
      <c r="C4" s="89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54" t="s">
        <v>170</v>
      </c>
      <c r="C9" s="26">
        <v>1.2699999999999999E-2</v>
      </c>
      <c r="D9" s="1"/>
    </row>
    <row r="10" spans="1:4" x14ac:dyDescent="0.45">
      <c r="A10" s="1"/>
      <c r="B10" s="54" t="s">
        <v>171</v>
      </c>
      <c r="C10" s="26">
        <v>1.7500000000000002E-2</v>
      </c>
      <c r="D10" s="1"/>
    </row>
    <row r="11" spans="1:4" x14ac:dyDescent="0.45">
      <c r="A11" s="1"/>
      <c r="B11" s="54" t="s">
        <v>24</v>
      </c>
      <c r="C11" s="26">
        <v>1.6899999999999998E-2</v>
      </c>
      <c r="D11" s="1"/>
    </row>
    <row r="12" spans="1:4" x14ac:dyDescent="0.45">
      <c r="A12" s="1"/>
      <c r="B12" s="39" t="s">
        <v>172</v>
      </c>
      <c r="C12" s="40">
        <v>1.9699999999999999E-2</v>
      </c>
      <c r="D12" s="1"/>
    </row>
    <row r="13" spans="1:4" x14ac:dyDescent="0.45">
      <c r="A13" s="1"/>
      <c r="B13" s="39" t="s">
        <v>217</v>
      </c>
      <c r="C13" s="40">
        <v>1.2200000000000001E-2</v>
      </c>
      <c r="D13" s="1"/>
    </row>
    <row r="14" spans="1:4" x14ac:dyDescent="0.45">
      <c r="A14" s="1"/>
      <c r="B14" s="38"/>
      <c r="C14" s="20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38" t="s">
        <v>153</v>
      </c>
      <c r="C17" s="20"/>
      <c r="D17" s="1"/>
    </row>
    <row r="18" spans="1:4" x14ac:dyDescent="0.45">
      <c r="A18" s="1"/>
      <c r="B18" s="54" t="s">
        <v>173</v>
      </c>
      <c r="C18" s="23">
        <v>9.1000000000000004E-3</v>
      </c>
      <c r="D18" s="1"/>
    </row>
    <row r="19" spans="1:4" x14ac:dyDescent="0.45">
      <c r="A19" s="1"/>
      <c r="B19" s="54" t="s">
        <v>174</v>
      </c>
      <c r="C19" s="23">
        <v>1.77E-2</v>
      </c>
      <c r="D19" s="1"/>
    </row>
    <row r="20" spans="1:4" x14ac:dyDescent="0.45">
      <c r="A20" s="1"/>
      <c r="B20" s="54" t="s">
        <v>175</v>
      </c>
      <c r="C20" s="23">
        <v>8.6999999999999994E-3</v>
      </c>
      <c r="D20" s="1"/>
    </row>
    <row r="21" spans="1:4" x14ac:dyDescent="0.45">
      <c r="A21" s="1"/>
      <c r="B21" s="54" t="s">
        <v>176</v>
      </c>
      <c r="C21" s="41">
        <v>2.8400000000000002E-2</v>
      </c>
      <c r="D21" s="1"/>
    </row>
    <row r="22" spans="1:4" x14ac:dyDescent="0.45">
      <c r="A22" s="1"/>
      <c r="B22" s="54" t="s">
        <v>229</v>
      </c>
      <c r="C22" s="41">
        <v>2.75E-2</v>
      </c>
      <c r="D22" s="1"/>
    </row>
    <row r="23" spans="1:4" x14ac:dyDescent="0.45">
      <c r="A23" s="1"/>
      <c r="B23" s="38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38" t="s">
        <v>154</v>
      </c>
      <c r="C26" s="20"/>
      <c r="D26" s="1"/>
    </row>
    <row r="27" spans="1:4" x14ac:dyDescent="0.45">
      <c r="A27" s="1"/>
      <c r="B27" s="54" t="s">
        <v>177</v>
      </c>
      <c r="C27" s="26">
        <v>0.02</v>
      </c>
      <c r="D27" s="1"/>
    </row>
    <row r="28" spans="1:4" x14ac:dyDescent="0.45">
      <c r="A28" s="1"/>
      <c r="B28" s="38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185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27</v>
      </c>
      <c r="C9" s="7">
        <f>'Fane 3. Omkostninger i ØR2020'!E20</f>
        <v>39758052.905611403</v>
      </c>
      <c r="D9" s="8" t="s">
        <v>3</v>
      </c>
      <c r="E9" s="1"/>
    </row>
    <row r="10" spans="1:5" ht="17.100000000000001" customHeight="1" x14ac:dyDescent="0.45">
      <c r="A10" s="1"/>
      <c r="B10" s="48" t="s">
        <v>48</v>
      </c>
      <c r="C10" s="7">
        <f>'Fane 10.1. Varige tillæg'!C14</f>
        <v>13993.664999999999</v>
      </c>
      <c r="D10" s="8" t="s">
        <v>3</v>
      </c>
      <c r="E10" s="1"/>
    </row>
    <row r="11" spans="1:5" ht="17.100000000000001" customHeight="1" x14ac:dyDescent="0.45">
      <c r="A11" s="1"/>
      <c r="B11" s="48" t="s">
        <v>49</v>
      </c>
      <c r="C11" s="9">
        <f>'Fane 10.1. Varige tillæg'!E14</f>
        <v>785886.85852488002</v>
      </c>
      <c r="D11" s="8" t="s">
        <v>3</v>
      </c>
      <c r="E11" s="1"/>
    </row>
    <row r="12" spans="1:5" ht="17.100000000000001" customHeight="1" x14ac:dyDescent="0.4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48" t="s">
        <v>20</v>
      </c>
      <c r="C16" s="9">
        <f>C9*'Fane 14. Nøgletal'!C12+SUM(C10:C15)*'Fane 14. Nøgletal'!C13</f>
        <v>792992.18462754809</v>
      </c>
      <c r="D16" s="8" t="s">
        <v>3</v>
      </c>
      <c r="E16" s="1"/>
    </row>
    <row r="17" spans="1:5" ht="17.100000000000001" customHeight="1" x14ac:dyDescent="0.45">
      <c r="A17" s="1"/>
      <c r="B17" s="48" t="s">
        <v>10</v>
      </c>
      <c r="C17" s="9">
        <f>-SUM(C9:C16)*'Fane 5. Individuelt eff. krav'!G11</f>
        <v>-483205.43289544794</v>
      </c>
      <c r="D17" s="8" t="s">
        <v>3</v>
      </c>
      <c r="E17" s="1"/>
    </row>
    <row r="18" spans="1:5" ht="17.100000000000001" customHeight="1" x14ac:dyDescent="0.45">
      <c r="A18" s="1"/>
      <c r="B18" s="48" t="s">
        <v>29</v>
      </c>
      <c r="C18" s="9">
        <f>-'Fane 4.1. Gen. krav - drift'!G34</f>
        <v>-298970.70113919908</v>
      </c>
      <c r="D18" s="8" t="s">
        <v>3</v>
      </c>
      <c r="E18" s="1"/>
    </row>
    <row r="19" spans="1:5" ht="17.100000000000001" customHeight="1" x14ac:dyDescent="0.45">
      <c r="A19" s="1"/>
      <c r="B19" s="48" t="s">
        <v>30</v>
      </c>
      <c r="C19" s="9">
        <f>-'Fane 4.2. Gen. krav - anlæg'!G31</f>
        <v>-819539.72489854728</v>
      </c>
      <c r="D19" s="8" t="s">
        <v>3</v>
      </c>
      <c r="E19" s="1"/>
    </row>
    <row r="20" spans="1:5" ht="17.100000000000001" customHeight="1" x14ac:dyDescent="0.45">
      <c r="A20" s="1"/>
      <c r="B20" s="49" t="s">
        <v>22</v>
      </c>
      <c r="C20" s="10">
        <f>SUM(C9:C19)</f>
        <v>39749209.754830644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omk.'!C15+'Fane 6. Ikke-påvirkelige omk.'!C19+'Fane 6. Ikke-påvirkelige omk.'!C27</f>
        <v>6095071.8375106798</v>
      </c>
      <c r="D22" s="11" t="s">
        <v>3</v>
      </c>
      <c r="E22" s="1"/>
    </row>
    <row r="23" spans="1:5" ht="15" customHeight="1" x14ac:dyDescent="0.45">
      <c r="A23" s="1"/>
      <c r="B23" s="38" t="s">
        <v>114</v>
      </c>
      <c r="C23" s="32"/>
      <c r="D23" s="20"/>
      <c r="E23" s="1"/>
    </row>
    <row r="24" spans="1:5" ht="15" customHeight="1" x14ac:dyDescent="0.4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113</v>
      </c>
      <c r="C25" s="32"/>
      <c r="D25" s="20"/>
      <c r="E25" s="1"/>
    </row>
    <row r="26" spans="1:5" ht="15" customHeight="1" x14ac:dyDescent="0.4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252</v>
      </c>
      <c r="C29" s="32"/>
      <c r="D29" s="20"/>
      <c r="E29" s="1"/>
    </row>
    <row r="30" spans="1:5" x14ac:dyDescent="0.4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45">
      <c r="A31" s="1"/>
      <c r="B31" s="38" t="s">
        <v>184</v>
      </c>
      <c r="C31" s="32"/>
      <c r="D31" s="20"/>
      <c r="E31" s="1"/>
    </row>
    <row r="32" spans="1:5" x14ac:dyDescent="0.45">
      <c r="A32" s="1"/>
      <c r="B32" s="36" t="s">
        <v>184</v>
      </c>
      <c r="C32" s="10">
        <f>'Fane 8. Korrektion af ØR2019'!E17</f>
        <v>-13982</v>
      </c>
      <c r="D32" s="11" t="s">
        <v>3</v>
      </c>
      <c r="E32" s="1"/>
    </row>
    <row r="33" spans="1:5" x14ac:dyDescent="0.45">
      <c r="A33" s="1"/>
      <c r="B33" s="38" t="s">
        <v>35</v>
      </c>
      <c r="C33" s="34">
        <f>SUM(C32,C30,C28,C24,C22,C20)</f>
        <v>45830299.592341326</v>
      </c>
      <c r="D33" s="35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188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23</v>
      </c>
      <c r="C5" s="76"/>
      <c r="D5" s="76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28</v>
      </c>
      <c r="C9" s="7">
        <f>'Fane 2.1. Økonomisk ramme 2021'!C20</f>
        <v>39749209.754830644</v>
      </c>
      <c r="D9" s="8" t="s">
        <v>3</v>
      </c>
      <c r="E9" s="1"/>
    </row>
    <row r="10" spans="1:5" ht="15" customHeight="1" x14ac:dyDescent="0.4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484940.35900893388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-470155.37462279078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drift'!G40</f>
        <v>-296565.78081923543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anlæg'!G37</f>
        <v>-781139.32889878424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38686289.629498757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6121566.4513283102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252</v>
      </c>
      <c r="C25" s="32"/>
      <c r="D25" s="20"/>
      <c r="E25" s="1"/>
    </row>
    <row r="26" spans="1:5" ht="15" customHeight="1" x14ac:dyDescent="0.4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45">
      <c r="A27" s="1"/>
      <c r="B27" s="38" t="s">
        <v>36</v>
      </c>
      <c r="C27" s="12">
        <f>SUM(C16,C18,C20,C24,C26)</f>
        <v>44807856.080827065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189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23</v>
      </c>
      <c r="C5" s="76"/>
      <c r="D5" s="76"/>
      <c r="E5" s="1"/>
    </row>
    <row r="6" spans="1:5" x14ac:dyDescent="0.45">
      <c r="A6" s="1"/>
      <c r="B6" s="47"/>
      <c r="C6" s="47"/>
      <c r="D6" s="47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190</v>
      </c>
      <c r="C9" s="7">
        <f>'Fane 2.2. Økonomisk ramme 2022'!C16</f>
        <v>38686289.629498757</v>
      </c>
      <c r="D9" s="8" t="s">
        <v>3</v>
      </c>
      <c r="E9" s="1"/>
    </row>
    <row r="10" spans="1:5" ht="15" customHeight="1" x14ac:dyDescent="0.4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471972.73347988486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-457583.10934250348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drift'!G46</f>
        <v>-294180.2056783255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anlæg'!G43</f>
        <v>-768925.82492178737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37637573.223036028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6148409.5806345157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252</v>
      </c>
      <c r="C25" s="32"/>
      <c r="D25" s="20"/>
      <c r="E25" s="1"/>
    </row>
    <row r="26" spans="1:5" x14ac:dyDescent="0.4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45">
      <c r="A27" s="1"/>
      <c r="B27" s="38" t="s">
        <v>124</v>
      </c>
      <c r="C27" s="12">
        <f>SUM(C16,C18,C20,C24,C26)</f>
        <v>43785982.80367054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191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23</v>
      </c>
      <c r="C5" s="76"/>
      <c r="D5" s="76"/>
      <c r="E5" s="1"/>
    </row>
    <row r="6" spans="1:5" x14ac:dyDescent="0.45">
      <c r="A6" s="1"/>
      <c r="B6" s="47"/>
      <c r="C6" s="47"/>
      <c r="D6" s="47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192</v>
      </c>
      <c r="C9" s="7">
        <f>'Fane 2.3. Økonomisk ramme 2023'!C16</f>
        <v>37637573.223036028</v>
      </c>
      <c r="D9" s="8" t="s">
        <v>3</v>
      </c>
      <c r="E9" s="1"/>
    </row>
    <row r="10" spans="1:5" ht="15" customHeight="1" x14ac:dyDescent="0.4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459178.39332103956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-445178.84626420081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drift'!G54</f>
        <v>-291813.82010384905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anlæg'!G49</f>
        <v>-756903.28518622275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36602855.664802797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2642269.8185182568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193</v>
      </c>
      <c r="C25" s="12">
        <f>SUM(C16,C18,C20,C24)</f>
        <v>39245125.483321056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45">
      <c r="A9" s="1"/>
      <c r="B9" s="77" t="s">
        <v>25</v>
      </c>
      <c r="C9" s="78"/>
      <c r="D9" s="79"/>
      <c r="E9" s="7">
        <v>39912763.076988921</v>
      </c>
      <c r="F9" s="8" t="s">
        <v>3</v>
      </c>
      <c r="G9" s="1"/>
    </row>
    <row r="10" spans="1:7" ht="15" customHeight="1" x14ac:dyDescent="0.45">
      <c r="A10" s="1"/>
      <c r="B10" s="80" t="s">
        <v>48</v>
      </c>
      <c r="C10" s="81"/>
      <c r="D10" s="82"/>
      <c r="E10" s="7">
        <v>51404.096700000002</v>
      </c>
      <c r="F10" s="8" t="s">
        <v>3</v>
      </c>
      <c r="G10" s="1"/>
    </row>
    <row r="11" spans="1:7" ht="15" customHeight="1" x14ac:dyDescent="0.45">
      <c r="A11" s="1"/>
      <c r="B11" s="80" t="s">
        <v>49</v>
      </c>
      <c r="C11" s="81"/>
      <c r="D11" s="82"/>
      <c r="E11" s="9">
        <v>582273.44471999991</v>
      </c>
      <c r="F11" s="8" t="s">
        <v>3</v>
      </c>
      <c r="G11" s="1"/>
    </row>
    <row r="12" spans="1:7" ht="15" customHeight="1" x14ac:dyDescent="0.4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4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4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4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45">
      <c r="A16" s="1"/>
      <c r="B16" s="77" t="s">
        <v>20</v>
      </c>
      <c r="C16" s="78"/>
      <c r="D16" s="79"/>
      <c r="E16" s="9">
        <f>SUM(E9:E15)*'Fane 14. Nøgletal'!C12</f>
        <v>798764.88018265564</v>
      </c>
      <c r="F16" s="8" t="s">
        <v>3</v>
      </c>
      <c r="G16" s="1"/>
    </row>
    <row r="17" spans="1:7" ht="15" customHeight="1" x14ac:dyDescent="0.45">
      <c r="A17" s="1"/>
      <c r="B17" s="77" t="s">
        <v>10</v>
      </c>
      <c r="C17" s="78"/>
      <c r="D17" s="79"/>
      <c r="E17" s="9">
        <f>-SUM(E9:E16)*'Fane 5. Individuelt eff. krav'!G11</f>
        <v>-483138.59060142434</v>
      </c>
      <c r="F17" s="8" t="s">
        <v>3</v>
      </c>
      <c r="G17" s="1"/>
    </row>
    <row r="18" spans="1:7" ht="15" customHeight="1" x14ac:dyDescent="0.45">
      <c r="A18" s="1"/>
      <c r="B18" s="77" t="s">
        <v>29</v>
      </c>
      <c r="C18" s="78"/>
      <c r="D18" s="79"/>
      <c r="E18" s="9">
        <f>-'Fane 4.1. Gen. krav - drift'!G28</f>
        <v>-298894.84640834649</v>
      </c>
      <c r="F18" s="8" t="s">
        <v>3</v>
      </c>
      <c r="G18" s="1"/>
    </row>
    <row r="19" spans="1:7" ht="15" customHeight="1" x14ac:dyDescent="0.45">
      <c r="A19" s="1"/>
      <c r="B19" s="77" t="s">
        <v>30</v>
      </c>
      <c r="C19" s="78"/>
      <c r="D19" s="79"/>
      <c r="E19" s="9">
        <f>-'Fane 4.2. Gen. krav - anlæg'!G25</f>
        <v>-805119.15597040276</v>
      </c>
      <c r="F19" s="8" t="s">
        <v>3</v>
      </c>
      <c r="G19" s="1"/>
    </row>
    <row r="20" spans="1:7" ht="15" customHeight="1" x14ac:dyDescent="0.45">
      <c r="A20" s="1"/>
      <c r="B20" s="49" t="s">
        <v>22</v>
      </c>
      <c r="C20" s="50"/>
      <c r="D20" s="55"/>
      <c r="E20" s="10">
        <f>SUM(E9:E19)</f>
        <v>39758052.905611403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83" t="s">
        <v>13</v>
      </c>
      <c r="C22" s="84"/>
      <c r="D22" s="85"/>
      <c r="E22" s="10">
        <v>1665754.3042862401</v>
      </c>
      <c r="F22" s="11" t="s">
        <v>3</v>
      </c>
      <c r="G22" s="1"/>
    </row>
    <row r="23" spans="1:7" ht="15" customHeight="1" x14ac:dyDescent="0.4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4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4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4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4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4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45">
      <c r="A30" s="1"/>
      <c r="B30" s="83" t="s">
        <v>260</v>
      </c>
      <c r="C30" s="84"/>
      <c r="D30" s="84"/>
      <c r="E30" s="46">
        <v>-2302009</v>
      </c>
      <c r="F30" s="11" t="s">
        <v>3</v>
      </c>
      <c r="G30" s="1"/>
    </row>
    <row r="31" spans="1:7" ht="15" customHeight="1" x14ac:dyDescent="0.4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4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4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45">
      <c r="A34" s="1"/>
      <c r="B34" s="83" t="s">
        <v>264</v>
      </c>
      <c r="C34" s="84"/>
      <c r="D34" s="85"/>
      <c r="E34" s="10">
        <v>-324380.01098489133</v>
      </c>
      <c r="F34" s="11" t="s">
        <v>3</v>
      </c>
      <c r="G34" s="1"/>
    </row>
    <row r="35" spans="1:7" x14ac:dyDescent="0.45">
      <c r="A35" s="1"/>
      <c r="B35" s="38" t="s">
        <v>26</v>
      </c>
      <c r="C35" s="32"/>
      <c r="D35" s="20"/>
      <c r="E35" s="12">
        <f>E20+E22+E24+E28+E30+E32+E34</f>
        <v>38797418.198912755</v>
      </c>
      <c r="F35" s="13" t="s">
        <v>3</v>
      </c>
      <c r="G35" s="1"/>
    </row>
    <row r="36" spans="1:7" ht="27" customHeight="1" x14ac:dyDescent="0.45">
      <c r="A36" s="1"/>
      <c r="B36" s="77" t="s">
        <v>218</v>
      </c>
      <c r="C36" s="78"/>
      <c r="D36" s="78"/>
      <c r="E36" s="78"/>
      <c r="F36" s="7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4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4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4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4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45">
      <c r="A6" s="1"/>
      <c r="B6" s="92" t="s">
        <v>56</v>
      </c>
      <c r="C6" s="93"/>
      <c r="D6" s="93"/>
      <c r="E6" s="93"/>
      <c r="F6" s="94"/>
      <c r="G6" s="24">
        <v>15340944.954585282</v>
      </c>
      <c r="H6" s="14" t="s">
        <v>3</v>
      </c>
      <c r="I6" s="1"/>
    </row>
    <row r="7" spans="1:9" x14ac:dyDescent="0.4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45">
      <c r="A8" s="1"/>
      <c r="B8" s="92" t="s">
        <v>57</v>
      </c>
      <c r="C8" s="93"/>
      <c r="D8" s="93"/>
      <c r="E8" s="93"/>
      <c r="F8" s="94"/>
      <c r="G8" s="24">
        <f>SUM(G6:G7)*'Fane 14. Nøgletal'!C27</f>
        <v>306818.89909170562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4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15297223.261464715</v>
      </c>
      <c r="H12" s="14" t="s">
        <v>3</v>
      </c>
      <c r="I12" s="1"/>
    </row>
    <row r="13" spans="1:9" ht="15" customHeight="1" x14ac:dyDescent="0.45">
      <c r="A13" s="1"/>
      <c r="B13" s="92" t="s">
        <v>182</v>
      </c>
      <c r="C13" s="93"/>
      <c r="D13" s="93"/>
      <c r="E13" s="93"/>
      <c r="F13" s="94"/>
      <c r="G13" s="24">
        <v>-361559.51541102323</v>
      </c>
      <c r="H13" s="14" t="s">
        <v>3</v>
      </c>
      <c r="I13" s="1"/>
    </row>
    <row r="14" spans="1:9" x14ac:dyDescent="0.4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45">
      <c r="A15" s="1"/>
      <c r="B15" s="95" t="s">
        <v>59</v>
      </c>
      <c r="C15" s="96"/>
      <c r="D15" s="96"/>
      <c r="E15" s="96"/>
      <c r="F15" s="97"/>
      <c r="G15" s="24">
        <v>457369.31267500005</v>
      </c>
      <c r="H15" s="14" t="s">
        <v>3</v>
      </c>
      <c r="I15" s="1"/>
    </row>
    <row r="16" spans="1:9" x14ac:dyDescent="0.4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307860.66117457382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4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15349162.914511316</v>
      </c>
      <c r="H20" s="14" t="s">
        <v>3</v>
      </c>
      <c r="I20" s="1"/>
    </row>
    <row r="21" spans="1:9" x14ac:dyDescent="0.45">
      <c r="A21" s="1"/>
      <c r="B21" s="95" t="s">
        <v>62</v>
      </c>
      <c r="C21" s="96"/>
      <c r="D21" s="96"/>
      <c r="E21" s="96"/>
      <c r="F21" s="97"/>
      <c r="G21" s="24">
        <v>-446494.89989683917</v>
      </c>
      <c r="H21" s="14" t="s">
        <v>3</v>
      </c>
      <c r="I21" s="1"/>
    </row>
    <row r="22" spans="1:9" x14ac:dyDescent="0.4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298053.36029228952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4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14892325.563012334</v>
      </c>
      <c r="H26" s="14" t="s">
        <v>3</v>
      </c>
      <c r="I26" s="1"/>
    </row>
    <row r="27" spans="1:9" x14ac:dyDescent="0.45">
      <c r="A27" s="1"/>
      <c r="B27" s="95" t="s">
        <v>65</v>
      </c>
      <c r="C27" s="96"/>
      <c r="D27" s="96"/>
      <c r="E27" s="96"/>
      <c r="F27" s="97"/>
      <c r="G27" s="24">
        <v>52416.757404990007</v>
      </c>
      <c r="H27" s="14" t="s">
        <v>3</v>
      </c>
      <c r="I27" s="1"/>
    </row>
    <row r="28" spans="1:9" x14ac:dyDescent="0.45">
      <c r="A28" s="1"/>
      <c r="B28" s="92" t="s">
        <v>66</v>
      </c>
      <c r="C28" s="93"/>
      <c r="D28" s="93"/>
      <c r="E28" s="93"/>
      <c r="F28" s="94"/>
      <c r="G28" s="24">
        <f>(G26+G27)*'Fane 14. Nøgletal'!C27</f>
        <v>298894.84640834649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4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14934370.669246955</v>
      </c>
      <c r="H32" s="14" t="s">
        <v>3</v>
      </c>
      <c r="I32" s="1"/>
    </row>
    <row r="33" spans="1:9" x14ac:dyDescent="0.4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14164.387712999998</v>
      </c>
      <c r="H33" s="14" t="s">
        <v>3</v>
      </c>
      <c r="I33" s="1"/>
    </row>
    <row r="34" spans="1:9" x14ac:dyDescent="0.45">
      <c r="A34" s="1"/>
      <c r="B34" s="92" t="s">
        <v>75</v>
      </c>
      <c r="C34" s="93"/>
      <c r="D34" s="93"/>
      <c r="E34" s="93"/>
      <c r="F34" s="94"/>
      <c r="G34" s="24">
        <f>(G32+G33)*'Fane 14. Nøgletal'!C27</f>
        <v>298970.70113919908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4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14828289.04096177</v>
      </c>
      <c r="H38" s="14" t="s">
        <v>3</v>
      </c>
      <c r="I38" s="1"/>
    </row>
    <row r="39" spans="1:9" x14ac:dyDescent="0.4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45">
      <c r="A40" s="1"/>
      <c r="B40" s="92" t="s">
        <v>76</v>
      </c>
      <c r="C40" s="93"/>
      <c r="D40" s="93"/>
      <c r="E40" s="93"/>
      <c r="F40" s="94"/>
      <c r="G40" s="24">
        <f>(G38+G39)*'Fane 14. Nøgletal'!C27</f>
        <v>296565.78081923543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4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14709010.283916274</v>
      </c>
      <c r="H44" s="14" t="s">
        <v>3</v>
      </c>
      <c r="I44" s="1"/>
    </row>
    <row r="45" spans="1:9" x14ac:dyDescent="0.4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45">
      <c r="A46" s="1"/>
      <c r="B46" s="92" t="s">
        <v>77</v>
      </c>
      <c r="C46" s="93"/>
      <c r="D46" s="93"/>
      <c r="E46" s="93"/>
      <c r="F46" s="94"/>
      <c r="G46" s="24">
        <f>(G44+G45)*'Fane 14. Nøgletal'!C27</f>
        <v>294180.2056783255</v>
      </c>
      <c r="H46" s="14" t="s">
        <v>3</v>
      </c>
      <c r="I46" s="1"/>
    </row>
    <row r="47" spans="1:9" x14ac:dyDescent="0.4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4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14590691.005192451</v>
      </c>
      <c r="H52" s="14" t="s">
        <v>3</v>
      </c>
      <c r="I52" s="1"/>
    </row>
    <row r="53" spans="1:9" x14ac:dyDescent="0.4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4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291813.82010384905</v>
      </c>
      <c r="H54" s="14" t="s">
        <v>3</v>
      </c>
      <c r="I54" s="1"/>
    </row>
    <row r="55" spans="1:9" x14ac:dyDescent="0.4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4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4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4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45">
      <c r="A5" s="1"/>
      <c r="B5" s="92" t="s">
        <v>78</v>
      </c>
      <c r="C5" s="93"/>
      <c r="D5" s="93"/>
      <c r="E5" s="93"/>
      <c r="F5" s="94"/>
      <c r="G5" s="24">
        <v>26862088.258425225</v>
      </c>
      <c r="H5" s="14" t="s">
        <v>3</v>
      </c>
      <c r="I5" s="1"/>
    </row>
    <row r="6" spans="1:9" x14ac:dyDescent="0.45">
      <c r="A6" s="1"/>
      <c r="B6" s="92" t="s">
        <v>72</v>
      </c>
      <c r="C6" s="93"/>
      <c r="D6" s="93"/>
      <c r="E6" s="93"/>
      <c r="F6" s="94"/>
      <c r="G6" s="24">
        <f>G5*'Fane 14. Nøgletal'!C18</f>
        <v>244445.00315166955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4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27083452.012240842</v>
      </c>
      <c r="H10" s="14" t="s">
        <v>3</v>
      </c>
      <c r="I10" s="1"/>
    </row>
    <row r="11" spans="1:9" x14ac:dyDescent="0.45">
      <c r="A11" s="1"/>
      <c r="B11" s="92" t="s">
        <v>183</v>
      </c>
      <c r="C11" s="93"/>
      <c r="D11" s="93"/>
      <c r="E11" s="93"/>
      <c r="F11" s="94"/>
      <c r="G11" s="24">
        <v>157321.22143523142</v>
      </c>
      <c r="H11" s="14" t="s">
        <v>3</v>
      </c>
      <c r="I11" s="1"/>
    </row>
    <row r="12" spans="1:9" x14ac:dyDescent="0.4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4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482161.68623606651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4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27226887.249520209</v>
      </c>
      <c r="H17" s="14" t="s">
        <v>3</v>
      </c>
      <c r="I17" s="1"/>
    </row>
    <row r="18" spans="1:9" x14ac:dyDescent="0.45">
      <c r="A18" s="1"/>
      <c r="B18" s="95" t="s">
        <v>85</v>
      </c>
      <c r="C18" s="96"/>
      <c r="D18" s="96"/>
      <c r="E18" s="96"/>
      <c r="F18" s="97"/>
      <c r="G18" s="24">
        <v>478493.12754480989</v>
      </c>
      <c r="H18" s="14" t="s">
        <v>3</v>
      </c>
      <c r="I18" s="1"/>
    </row>
    <row r="19" spans="1:9" x14ac:dyDescent="0.4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486078.79452614754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4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27755521.823714886</v>
      </c>
      <c r="H23" s="14" t="s">
        <v>3</v>
      </c>
      <c r="I23" s="1"/>
    </row>
    <row r="24" spans="1:9" x14ac:dyDescent="0.45">
      <c r="A24" s="1"/>
      <c r="B24" s="95" t="s">
        <v>89</v>
      </c>
      <c r="C24" s="96"/>
      <c r="D24" s="96"/>
      <c r="E24" s="96"/>
      <c r="F24" s="97"/>
      <c r="G24" s="24">
        <v>593744.23158098396</v>
      </c>
      <c r="H24" s="14" t="s">
        <v>3</v>
      </c>
      <c r="I24" s="1"/>
    </row>
    <row r="25" spans="1:9" x14ac:dyDescent="0.45">
      <c r="A25" s="1"/>
      <c r="B25" s="92" t="s">
        <v>90</v>
      </c>
      <c r="C25" s="93"/>
      <c r="D25" s="93"/>
      <c r="E25" s="93"/>
      <c r="F25" s="94"/>
      <c r="G25" s="24">
        <f>(G23+G24)*'Fane 14. Nøgletal'!C21</f>
        <v>805119.15597040276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4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28086766.59324218</v>
      </c>
      <c r="H29" s="14" t="s">
        <v>3</v>
      </c>
      <c r="I29" s="1"/>
    </row>
    <row r="30" spans="1:9" x14ac:dyDescent="0.4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795474.67819888354</v>
      </c>
      <c r="H30" s="14" t="s">
        <v>3</v>
      </c>
      <c r="I30" s="1"/>
    </row>
    <row r="31" spans="1:9" x14ac:dyDescent="0.4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819539.72489854728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4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28405066.505410336</v>
      </c>
      <c r="H35" s="14" t="s">
        <v>3</v>
      </c>
      <c r="I35" s="1"/>
    </row>
    <row r="36" spans="1:9" x14ac:dyDescent="0.4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45">
      <c r="A37" s="1"/>
      <c r="B37" s="92" t="s">
        <v>94</v>
      </c>
      <c r="C37" s="93"/>
      <c r="D37" s="93"/>
      <c r="E37" s="93"/>
      <c r="F37" s="94"/>
      <c r="G37" s="24">
        <f>(G35+G36)*'Fane 14. Nøgletal'!C22</f>
        <v>781139.32889878424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4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27960939.088064995</v>
      </c>
      <c r="H41" s="14" t="s">
        <v>3</v>
      </c>
      <c r="I41" s="1"/>
    </row>
    <row r="42" spans="1:9" x14ac:dyDescent="0.4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45">
      <c r="A43" s="1"/>
      <c r="B43" s="92" t="s">
        <v>95</v>
      </c>
      <c r="C43" s="93"/>
      <c r="D43" s="93"/>
      <c r="E43" s="93"/>
      <c r="F43" s="94"/>
      <c r="G43" s="24">
        <f>(G41+G42)*'Fane 14. Nøgletal'!C22</f>
        <v>768925.82492178737</v>
      </c>
      <c r="H43" s="14" t="s">
        <v>3</v>
      </c>
      <c r="I43" s="1"/>
    </row>
    <row r="44" spans="1:9" x14ac:dyDescent="0.4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4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27523755.824953556</v>
      </c>
      <c r="H47" s="14" t="s">
        <v>3</v>
      </c>
      <c r="I47" s="1"/>
    </row>
    <row r="48" spans="1:9" x14ac:dyDescent="0.4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4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756903.28518622275</v>
      </c>
      <c r="H49" s="14" t="s">
        <v>3</v>
      </c>
      <c r="I49" s="1"/>
    </row>
    <row r="50" spans="1:9" x14ac:dyDescent="0.4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4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45">
      <c r="A9" s="1"/>
      <c r="B9" s="92" t="s">
        <v>104</v>
      </c>
      <c r="C9" s="93"/>
      <c r="D9" s="93"/>
      <c r="E9" s="93"/>
      <c r="F9" s="94"/>
      <c r="G9" s="23">
        <v>5.1230460748600357E-3</v>
      </c>
      <c r="H9" s="14"/>
      <c r="I9" s="1"/>
    </row>
    <row r="10" spans="1:9" x14ac:dyDescent="0.45">
      <c r="A10" s="1"/>
      <c r="B10" s="92" t="s">
        <v>105</v>
      </c>
      <c r="C10" s="93"/>
      <c r="D10" s="93"/>
      <c r="E10" s="93"/>
      <c r="F10" s="94"/>
      <c r="G10" s="23">
        <v>0.02</v>
      </c>
      <c r="H10" s="14"/>
      <c r="I10" s="1"/>
    </row>
    <row r="11" spans="1:9" x14ac:dyDescent="0.45">
      <c r="A11" s="1"/>
      <c r="B11" s="92" t="s">
        <v>106</v>
      </c>
      <c r="C11" s="93"/>
      <c r="D11" s="93"/>
      <c r="E11" s="93"/>
      <c r="F11" s="94"/>
      <c r="G11" s="41">
        <v>1.1685480451122259E-2</v>
      </c>
      <c r="H11" s="14"/>
      <c r="I11" s="1"/>
    </row>
    <row r="12" spans="1:9" x14ac:dyDescent="0.4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4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4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2020-09-08T07:50:35Z</dcterms:modified>
</cp:coreProperties>
</file>