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Albertslund AS (V086)\ØR2024\"/>
    </mc:Choice>
  </mc:AlternateContent>
  <xr:revisionPtr revIDLastSave="0" documentId="13_ncr:1_{7E707684-CFAF-4F83-92ED-50ECBBD68EE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1" l="1"/>
  <c r="E27" i="41" l="1"/>
  <c r="C29" i="2" s="1"/>
  <c r="E31" i="41"/>
  <c r="E33" i="41" s="1"/>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<sst xmlns="http://schemas.openxmlformats.org/spreadsheetml/2006/main" count="549" uniqueCount="262">
  <si>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</si>
  <si>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</si>
  <si>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</si>
  <si>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</si>
  <si>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</si>
  <si>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</si>
  <si>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</si>
  <si>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</si>
  <si>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</si>
  <si>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</si>
  <si>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</si>
  <si>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</si>
  <si>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</si>
  <si>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</si>
  <si>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</si>
  <si>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</si>
  <si>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</si>
  <si>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</si>
  <si>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</si>
  <si>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</si>
  <si>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</si>
  <si>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</si>
  <si>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</si>
  <si>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</si>
  <si>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</si>
  <si>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</si>
  <si>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</si>
  <si>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</si>
  <si>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</si>
  <si>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</si>
  <si>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</si>
  <si>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</si>
  <si>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</si>
  <si>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</si>
  <si>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</si>
  <si>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</si>
  <si>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</si>
  <si>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</si>
  <si>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</si>
  <si>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</si>
  <si>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</si>
  <si>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</si>
  <si>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</si>
  <si>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</si>
  <si>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</si>
  <si>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</si>
  <si>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</si>
  <si>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</si>
  <si>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</si>
  <si>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</si>
  <si>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</si>
  <si>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</si>
  <si>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</si>
  <si>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</si>
  <si>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</si>
  <si>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</si>
  <si>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</si>
  <si>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</si>
  <si>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</si>
  <si>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</si>
  <si>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</si>
  <si>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</si>
  <si>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</si>
  <si>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</si>
  <si>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</si>
  <si>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</si>
  <si>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</si>
  <si>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</si>
  <si>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</si>
  <si>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</si>
  <si>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</si>
  <si>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</si>
  <si>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</si>
  <si>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</si>
  <si>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</si>
  <si>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</si>
  <si>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</si>
  <si>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</si>
  <si>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</si>
  <si>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</si>
  <si>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</si>
  <si>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</si>
  <si>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</si>
  <si>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</si>
  <si>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</si>
  <si>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</si>
  <si>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</si>
  <si>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</si>
  <si>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</si>
  <si>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</si>
  <si>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</si>
  <si>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</si>
  <si>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</si>
  <si>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</si>
  <si>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</si>
  <si>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</si>
  <si>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</si>
  <si>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</si>
  <si>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</si>
  <si>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</si>
  <si>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</si>
  <si>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</si>
  <si>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</si>
  <si>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</si>
  <si>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</si>
  <si>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</si>
  <si>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</si>
  <si>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</si>
  <si>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</si>
  <si>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</si>
  <si>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</si>
  <si>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</si>
  <si>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</si>
  <si>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</si>
  <si>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</si>
  <si>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</si>
  <si>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</si>
  <si>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</si>
  <si>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</si>
  <si>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</si>
  <si>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</si>
  <si>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</si>
  <si>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</si>
  <si>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</si>
  <si>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</si>
  <si>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</si>
  <si>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</si>
  <si>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</si>
  <si>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</si>
  <si>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</si>
  <si>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</si>
  <si>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</si>
  <si>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</si>
  <si>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</si>
  <si>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</si>
  <si>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</si>
  <si>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</si>
  <si>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</si>
  <si>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</si>
  <si>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</si>
  <si>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</si>
  <si>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</si>
  <si>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</si>
  <si>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</si>
  <si>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</si>
  <si>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</si>
  <si>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</si>
  <si>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</si>
  <si>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</si>
  <si>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</si>
  <si>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</si>
  <si>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</si>
  <si>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</si>
  <si>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</si>
  <si>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</si>
  <si>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</si>
  <si>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</si>
  <si>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</si>
  <si>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</si>
  <si>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</si>
  <si>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</si>
  <si>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</si>
  <si>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</si>
  <si>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</si>
  <si>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</si>
  <si>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</si>
  <si>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</si>
  <si>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</si>
  <si>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</si>
  <si>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</si>
  <si>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</si>
  <si>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</si>
  <si>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</si>
  <si>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</si>
  <si>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</si>
  <si>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</si>
  <si>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</si>
  <si>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</si>
  <si>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</si>
  <si>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</si>
  <si>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</si>
  <si>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</si>
  <si>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</si>
  <si>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</si>
  <si>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</si>
  <si>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</si>
  <si>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</si>
  <si>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</si>
  <si>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</si>
  <si>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</si>
  <si>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</si>
  <si>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</si>
  <si>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</si>
  <si>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</si>
  <si>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</si>
  <si>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</si>
  <si>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</si>
  <si>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</si>
  <si>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</si>
  <si>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</si>
  <si>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</si>
  <si>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</si>
  <si>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</si>
  <si>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</si>
  <si>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</si>
  <si>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</si>
  <si>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</si>
  <si>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</si>
  <si>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</si>
  <si>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</si>
  <si>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</si>
  <si>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</si>
  <si>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</si>
  <si>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</si>
  <si>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</si>
  <si>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</si>
  <si>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</si>
  <si>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</si>
  <si>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</si>
  <si>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</si>
  <si>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</si>
  <si>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</si>
  <si>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</si>
  <si>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</si>
  <si>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</si>
  <si>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</si>
  <si>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</si>
  <si>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</si>
  <si>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</si>
  <si>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</si>
  <si>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</si>
  <si>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</si>
  <si>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</si>
  <si>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</si>
  <si>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</si>
  <si>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</si>
  <si>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</si>
  <si>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</si>
  <si>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</si>
  <si>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</si>
  <si>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</si>
  <si>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</si>
  <si>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</si>
  <si>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Vognporten</t>
  </si>
  <si>
    <t>Øget antal kunder</t>
  </si>
  <si>
    <t>Afgift for ledningsført vand</t>
  </si>
  <si>
    <t>Afgift til Forsyningssekretariatet</t>
  </si>
  <si>
    <t>Køb af ydelser og produkter fra andre vandselskaber reguleret af vandsektorloven</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</si>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</sst>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row r="3">
          <cell r="A3" t="str">
            <v>S016</v>
          </cell>
        </row>
      </sheetData>
      <sheetData sheetId="5">
        <row r="3">
          <cell r="A3" t="str">
            <v>S016</v>
          </cell>
        </row>
      </sheetData>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IXkrzsEdvCh27STYN3vQhB6FdGo8Xr+6k+PYm8lLf0pJH2dA/6TeDRvy6FOclVxPJmURNce43IA38H4UdH8Uwg==" saltValue="lo7z4P+fNHEKUEG3QftPd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245</v>
      </c>
      <c r="C10" s="9">
        <v>7746472</v>
      </c>
      <c r="D10" s="14" t="s">
        <v>3</v>
      </c>
      <c r="E10" s="1"/>
      <c r="F10" s="1"/>
    </row>
    <row r="11" spans="1:6" x14ac:dyDescent="0.25">
      <c r="A11" s="1"/>
      <c r="B11" s="68" t="s">
        <v>246</v>
      </c>
      <c r="C11" s="9">
        <v>78685</v>
      </c>
      <c r="D11" s="14" t="s">
        <v>3</v>
      </c>
      <c r="E11" s="1"/>
      <c r="F11" s="1"/>
    </row>
    <row r="12" spans="1:6" ht="26.25" x14ac:dyDescent="0.25">
      <c r="A12" s="1"/>
      <c r="B12" s="54" t="s">
        <v>247</v>
      </c>
      <c r="C12" s="9">
        <v>4624081</v>
      </c>
      <c r="D12" s="14" t="s">
        <v>3</v>
      </c>
      <c r="E12" s="1"/>
      <c r="F12" s="1"/>
    </row>
    <row r="13" spans="1:6" x14ac:dyDescent="0.25">
      <c r="A13" s="1"/>
      <c r="B13" s="68"/>
      <c r="C13" s="9"/>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1" t="s">
        <v>213</v>
      </c>
      <c r="C19" s="12">
        <f>SUM(C10:C18)</f>
        <v>12449238</v>
      </c>
      <c r="D19" s="13" t="s">
        <v>3</v>
      </c>
      <c r="E19" s="1"/>
      <c r="F19" s="1"/>
    </row>
    <row r="20" spans="1:6" x14ac:dyDescent="0.25">
      <c r="A20" s="1"/>
      <c r="B20" s="51" t="s">
        <v>214</v>
      </c>
      <c r="C20" s="12">
        <f>C19*(1+'Fane 13. Nøgletal'!C16)^2</f>
        <v>14542311.45397632</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m/Jnjef5BYM8kGbXRG2l/apvIRBUsM15vKYH2+3CHHKacOA6D95wyCyR0avVJ57wPZIrsgYCLtJiwhMJ/9oxTg==" saltValue="OYkEy2d9ESwNh2jdld2Iz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249</v>
      </c>
      <c r="C8" s="105"/>
      <c r="D8" s="105"/>
      <c r="E8" s="105"/>
      <c r="F8" s="106"/>
      <c r="G8" s="1"/>
    </row>
    <row r="9" spans="1:7" x14ac:dyDescent="0.25">
      <c r="A9" s="1"/>
      <c r="B9" s="98" t="s">
        <v>250</v>
      </c>
      <c r="C9" s="99"/>
      <c r="D9" s="100"/>
      <c r="E9" s="28">
        <v>-147786.7676612772</v>
      </c>
      <c r="F9" s="14" t="s">
        <v>3</v>
      </c>
      <c r="G9" s="1"/>
    </row>
    <row r="10" spans="1:7" x14ac:dyDescent="0.25">
      <c r="A10" s="1"/>
      <c r="B10" s="51"/>
      <c r="C10" s="52"/>
      <c r="D10" s="52"/>
      <c r="E10" s="52"/>
      <c r="F10" s="19"/>
      <c r="G10" s="1"/>
    </row>
    <row r="11" spans="1:7" ht="56.25" customHeight="1" x14ac:dyDescent="0.25">
      <c r="A11" s="1"/>
      <c r="B11" s="116" t="s">
        <v>251</v>
      </c>
      <c r="C11" s="117"/>
      <c r="D11" s="117"/>
      <c r="E11" s="117"/>
      <c r="F11" s="118"/>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252</v>
      </c>
      <c r="C14" s="99"/>
      <c r="D14" s="100"/>
      <c r="E14" s="9">
        <v>-1599550.5603904836</v>
      </c>
      <c r="F14" s="14" t="s">
        <v>3</v>
      </c>
      <c r="G14" s="1"/>
    </row>
    <row r="15" spans="1:7" x14ac:dyDescent="0.25">
      <c r="A15" s="1"/>
      <c r="B15" s="98" t="s">
        <v>253</v>
      </c>
      <c r="C15" s="99"/>
      <c r="D15" s="100"/>
      <c r="E15" s="9">
        <v>-1599550.5603904836</v>
      </c>
      <c r="F15" s="14" t="s">
        <v>3</v>
      </c>
      <c r="G15" s="1"/>
    </row>
    <row r="16" spans="1:7" x14ac:dyDescent="0.25">
      <c r="A16" s="1"/>
      <c r="B16" s="51"/>
      <c r="C16" s="52"/>
      <c r="D16" s="52"/>
      <c r="E16" s="52"/>
      <c r="F16" s="19"/>
      <c r="G16" s="1"/>
    </row>
    <row r="17" spans="1:7" ht="33" customHeight="1" x14ac:dyDescent="0.25">
      <c r="A17" s="1"/>
      <c r="B17" s="116" t="s">
        <v>254</v>
      </c>
      <c r="C17" s="117"/>
      <c r="D17" s="117"/>
      <c r="E17" s="117"/>
      <c r="F17" s="118"/>
      <c r="G17" s="1"/>
    </row>
    <row r="18" spans="1:7" x14ac:dyDescent="0.25">
      <c r="A18" s="1"/>
      <c r="B18" s="1"/>
      <c r="C18" s="1"/>
      <c r="D18" s="1"/>
      <c r="E18" s="1"/>
      <c r="F18" s="1"/>
      <c r="G18" s="1"/>
    </row>
    <row r="19" spans="1:7" x14ac:dyDescent="0.25">
      <c r="A19" s="1"/>
      <c r="B19" s="62" t="s">
        <v>255</v>
      </c>
      <c r="C19" s="63"/>
      <c r="D19" s="63"/>
      <c r="E19" s="63"/>
      <c r="F19" s="64"/>
      <c r="G19" s="1"/>
    </row>
    <row r="20" spans="1:7" x14ac:dyDescent="0.25">
      <c r="A20" s="1"/>
      <c r="B20" s="65" t="s">
        <v>256</v>
      </c>
      <c r="C20" s="66"/>
      <c r="D20" s="67"/>
      <c r="E20" s="9">
        <v>22867843.272445183</v>
      </c>
      <c r="F20" s="14" t="s">
        <v>3</v>
      </c>
      <c r="G20" s="1"/>
    </row>
    <row r="21" spans="1:7" x14ac:dyDescent="0.25">
      <c r="A21" s="1"/>
      <c r="B21" s="65" t="s">
        <v>257</v>
      </c>
      <c r="C21" s="66"/>
      <c r="D21" s="67"/>
      <c r="E21" s="9">
        <v>21754530</v>
      </c>
      <c r="F21" s="14" t="s">
        <v>3</v>
      </c>
      <c r="G21" s="1"/>
    </row>
    <row r="22" spans="1:7" x14ac:dyDescent="0.25">
      <c r="A22" s="1"/>
      <c r="B22" s="65" t="s">
        <v>29</v>
      </c>
      <c r="C22" s="66"/>
      <c r="D22" s="67"/>
      <c r="E22" s="9">
        <v>0</v>
      </c>
      <c r="F22" s="14" t="s">
        <v>3</v>
      </c>
      <c r="G22" s="1"/>
    </row>
    <row r="23" spans="1:7" x14ac:dyDescent="0.25">
      <c r="A23" s="1"/>
      <c r="B23" s="70" t="s">
        <v>258</v>
      </c>
      <c r="C23" s="71"/>
      <c r="D23" s="72"/>
      <c r="E23" s="10">
        <f>E20-(E21-E22)</f>
        <v>1113313.2724451832</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4" t="s">
        <v>259</v>
      </c>
      <c r="C26" s="105"/>
      <c r="D26" s="105"/>
      <c r="E26" s="105"/>
      <c r="F26" s="106"/>
      <c r="G26" s="1"/>
    </row>
    <row r="27" spans="1:7" x14ac:dyDescent="0.25">
      <c r="A27" s="1"/>
      <c r="B27" s="123" t="s">
        <v>260</v>
      </c>
      <c r="C27" s="124"/>
      <c r="D27" s="125"/>
      <c r="E27" s="58">
        <f>IF(AND(E15&lt;0,E23&gt;0,ABS(SUM(E14:E15))&lt;E23),ABS(E14),IF(AND(E15&lt;0,E23&gt;0,ABS(SUM(E14:E15))&gt;E23),SUM(E14,E23),0))</f>
        <v>-486237.28794530034</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261</v>
      </c>
      <c r="C30" s="105"/>
      <c r="D30" s="105"/>
      <c r="E30" s="105"/>
      <c r="F30" s="106"/>
      <c r="G30" s="1"/>
    </row>
    <row r="31" spans="1:7" x14ac:dyDescent="0.25">
      <c r="A31" s="1"/>
      <c r="B31" s="126" t="s">
        <v>117</v>
      </c>
      <c r="C31" s="127"/>
      <c r="D31" s="128"/>
      <c r="E31" s="59">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8">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RViIxzSziwHYZReqgalC8H5dEVPk5xlbulKeBmYUEs0vGAScaBp2pRLHJu+Wl9zwOurJoZr6CF10T7T1IVJ9A==" saltValue="fvaQoHvugmVLpdC2UeKxOw=="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p4BSPaMO92b+TbeZHXyBrARvle6R5cv+mLpDB+FN1WJf0aHRUEc3b6t5cw5oXBkOF+n0BSIgMdipoBqxbZosIg==" saltValue="0ijVDImwabHwYesm7gwcO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Dd9vbV8TfN1Q8CVkrYefB+6Oqy66ey1mBp+XxQ8z3qtw9p/EUqiRjbGKMAT02jRC+5sdKkAaGOsm74kzwLRgag==" saltValue="C32b2YYUdFM5OY3L9+tXF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0</v>
      </c>
      <c r="D11" s="14" t="s">
        <v>3</v>
      </c>
      <c r="E11" s="9">
        <v>15768</v>
      </c>
      <c r="F11" s="14" t="s">
        <v>3</v>
      </c>
      <c r="G11" s="1"/>
    </row>
    <row r="12" spans="1:7" x14ac:dyDescent="0.25">
      <c r="A12" s="1"/>
      <c r="B12" s="27" t="s">
        <v>244</v>
      </c>
      <c r="C12" s="21">
        <v>1359773</v>
      </c>
      <c r="D12" s="14" t="s">
        <v>3</v>
      </c>
      <c r="E12" s="9">
        <v>0</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1359773</v>
      </c>
      <c r="D17" s="13" t="s">
        <v>3</v>
      </c>
      <c r="E17" s="12">
        <f>SUM(E10:E16)</f>
        <v>15768</v>
      </c>
      <c r="F17" s="13" t="s">
        <v>3</v>
      </c>
      <c r="G17" s="1"/>
    </row>
    <row r="18" spans="1:7" x14ac:dyDescent="0.25">
      <c r="A18" s="1"/>
      <c r="B18" s="51" t="s">
        <v>209</v>
      </c>
      <c r="C18" s="12">
        <f>C17*(1+'Fane 13. Nøgletal'!C16)</f>
        <v>1469642.6584000001</v>
      </c>
      <c r="D18" s="13" t="s">
        <v>3</v>
      </c>
      <c r="E18" s="12">
        <f>E17*(1+'Fane 13. Nøgletal'!C16)</f>
        <v>17042.054400000001</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G48MeVq12fLlg9KXnRfuWdZQzFL9Ltg2AIPpuNP3YwmdaaCZaQM0TlMz9PjAhUoSFosV+nZrjb+zBENcULD14Q==" saltValue="mSn57NNLCWVY3AOSuA8Nf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t="s">
        <v>248</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oQwyWl+Mahv1/AZlFB2EIpsu6gjuoJGCPUR6oFWJ+XSneyxLWn4wX4r3XEaeUBL58akOsPPJYoSKVwq+UGbnQ==" saltValue="ImCZXQJWdVDI+71RnZ4gZ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3" t="s">
        <v>105</v>
      </c>
      <c r="C9" s="129" t="s">
        <v>10</v>
      </c>
      <c r="D9" s="131"/>
      <c r="E9" s="129" t="s">
        <v>27</v>
      </c>
      <c r="F9" s="131"/>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bQYg2va2i6QepcZHfcG1sQtwGV0eoT+q5UJdvqlVkI2KQJgLk4YGyxbRQFwCEXVksPNXqiYnVeUWeydzMVCwRg==" saltValue="ZDnxPjDNqiTcpDxTwdQFT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786YzyCVpppK6GcJCI/Dx3ksbZZLRv6kNdX4X0/6y92wmXUZ9oaRinRHAS2BAIzobpA9dT8w94sNz2n/K5Kdw==" saltValue="KsAoIIIUmoKzDDiJF19Ii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8"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LgcXbJR69b2v0otEHywL7WKkLFN2461TNXNtxWC4OvEdp9l+Wwcbc4OS/QRtsyhvWly0S5j8GyNXtAd+oPEUdw==" saltValue="gph62g6NXd57s+KiDFtiq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11288625.591436543</v>
      </c>
      <c r="D8" s="8" t="s">
        <v>3</v>
      </c>
      <c r="E8" s="1"/>
    </row>
    <row r="9" spans="1:5" ht="17.100000000000001" customHeight="1" x14ac:dyDescent="0.25">
      <c r="A9" s="1"/>
      <c r="B9" s="24" t="s">
        <v>33</v>
      </c>
      <c r="C9" s="7">
        <f>'Fane 10.1. Varige tillæg'!C18</f>
        <v>1469642.6584000001</v>
      </c>
      <c r="D9" s="8" t="s">
        <v>3</v>
      </c>
      <c r="E9" s="1"/>
    </row>
    <row r="10" spans="1:5" ht="17.100000000000001" customHeight="1" x14ac:dyDescent="0.25">
      <c r="A10" s="1"/>
      <c r="B10" s="24" t="s">
        <v>34</v>
      </c>
      <c r="C10" s="9">
        <f>'Fane 10.1. Varige tillæg'!E18</f>
        <v>17042.054400000001</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521999.19584938092</v>
      </c>
      <c r="D15" s="8" t="s">
        <v>3</v>
      </c>
      <c r="E15" s="1"/>
    </row>
    <row r="16" spans="1:5" ht="17.100000000000001" customHeight="1" x14ac:dyDescent="0.25">
      <c r="A16" s="1"/>
      <c r="B16" s="24" t="s">
        <v>9</v>
      </c>
      <c r="C16" s="9">
        <f>-SUM(C8,C9:C15)*'Fane 5. Individuelt eff. krav'!G9</f>
        <v>-32021.899296261672</v>
      </c>
      <c r="D16" s="8" t="s">
        <v>3</v>
      </c>
      <c r="E16" s="1"/>
    </row>
    <row r="17" spans="1:5" ht="17.100000000000001" customHeight="1" x14ac:dyDescent="0.25">
      <c r="A17" s="1"/>
      <c r="B17" s="24" t="s">
        <v>22</v>
      </c>
      <c r="C17" s="9">
        <f>-'Fane 4.1. Gen. krav - drift'!G49</f>
        <v>-165316.5387587054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13099971.062030956</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14542311.45397632</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10">
        <f>SUM(C23:C26)</f>
        <v>0</v>
      </c>
      <c r="D27" s="11" t="s">
        <v>3</v>
      </c>
      <c r="E27" s="1"/>
    </row>
    <row r="28" spans="1:5" ht="15" customHeight="1" x14ac:dyDescent="0.25">
      <c r="A28" s="1"/>
      <c r="B28" s="26" t="s">
        <v>117</v>
      </c>
      <c r="C28" s="52"/>
      <c r="D28" s="19"/>
      <c r="E28" s="1"/>
    </row>
    <row r="29" spans="1:5" x14ac:dyDescent="0.25">
      <c r="A29" s="1"/>
      <c r="B29" s="69" t="s">
        <v>118</v>
      </c>
      <c r="C29" s="10">
        <f>'Fane 7. Kontrol af ØR2022'!E27</f>
        <v>-486237.28794530034</v>
      </c>
      <c r="D29" s="11" t="s">
        <v>3</v>
      </c>
      <c r="E29" s="1"/>
    </row>
    <row r="30" spans="1:5" x14ac:dyDescent="0.25">
      <c r="A30" s="1"/>
      <c r="B30" s="26" t="s">
        <v>138</v>
      </c>
      <c r="C30" s="52"/>
      <c r="D30" s="19"/>
      <c r="E30" s="1"/>
    </row>
    <row r="31" spans="1:5" x14ac:dyDescent="0.25">
      <c r="A31" s="1"/>
      <c r="B31" s="69" t="s">
        <v>139</v>
      </c>
      <c r="C31" s="10">
        <f>'Fane 8. Skattesagen'!G13</f>
        <v>0</v>
      </c>
      <c r="D31" s="11" t="s">
        <v>3</v>
      </c>
      <c r="E31" s="1"/>
    </row>
    <row r="32" spans="1:5" x14ac:dyDescent="0.25">
      <c r="A32" s="1"/>
      <c r="B32" s="51" t="s">
        <v>126</v>
      </c>
      <c r="C32" s="33">
        <f>SUM(C19,C21,C27,C29,C31)</f>
        <v>27156045.228061974</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e+m47GDxkpNP52DuzezfZhaWMqnU7vROUixu8kaovj5E6G9GQMDz5gdI/lu5YIZ9+WlwA8ZdQ4P0ULiDznP8g==" saltValue="r9F4JeW0q5e0qHqypbl4t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13099971.062030956</v>
      </c>
      <c r="D8" s="8" t="s">
        <v>3</v>
      </c>
      <c r="E8" s="1"/>
    </row>
    <row r="9" spans="1:5" ht="15" customHeight="1" x14ac:dyDescent="0.25">
      <c r="A9" s="1"/>
      <c r="B9" s="29" t="s">
        <v>17</v>
      </c>
      <c r="C9" s="9">
        <f>SUM(C8:C8)*'Fane 13. Nøgletal'!C16</f>
        <v>1058477.6618121013</v>
      </c>
      <c r="D9" s="8" t="s">
        <v>3</v>
      </c>
      <c r="E9" s="1"/>
    </row>
    <row r="10" spans="1:5" ht="15" customHeight="1" x14ac:dyDescent="0.25">
      <c r="A10" s="1"/>
      <c r="B10" s="29" t="s">
        <v>9</v>
      </c>
      <c r="C10" s="9">
        <f>-SUM(C8:C9)*'Fane 5. Individuelt eff. krav'!G9</f>
        <v>-34095.650644459871</v>
      </c>
      <c r="D10" s="8" t="s">
        <v>3</v>
      </c>
      <c r="E10" s="1"/>
    </row>
    <row r="11" spans="1:5" ht="15" customHeight="1" x14ac:dyDescent="0.25">
      <c r="A11" s="1"/>
      <c r="B11" s="29" t="s">
        <v>22</v>
      </c>
      <c r="C11" s="9">
        <f>-'Fane 4.1. Gen. krav - drift'!G54</f>
        <v>-175100.63278860063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13949252.440409996</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15717330.219457606</v>
      </c>
      <c r="D15" s="11" t="s">
        <v>3</v>
      </c>
      <c r="E15" s="1"/>
    </row>
    <row r="16" spans="1:5" x14ac:dyDescent="0.25">
      <c r="A16" s="1"/>
      <c r="B16" s="26" t="s">
        <v>117</v>
      </c>
      <c r="C16" s="52"/>
      <c r="D16" s="19"/>
      <c r="E16" s="1"/>
    </row>
    <row r="17" spans="1:5" ht="15" customHeight="1" x14ac:dyDescent="0.25">
      <c r="A17" s="1"/>
      <c r="B17" s="69" t="s">
        <v>118</v>
      </c>
      <c r="C17" s="10">
        <f>'Fane 7. Kontrol af ØR2022'!E33</f>
        <v>0</v>
      </c>
      <c r="D17" s="11" t="s">
        <v>3</v>
      </c>
      <c r="E17" s="1"/>
    </row>
    <row r="18" spans="1:5" x14ac:dyDescent="0.25">
      <c r="A18" s="1"/>
      <c r="B18" s="26" t="s">
        <v>138</v>
      </c>
      <c r="C18" s="52"/>
      <c r="D18" s="19"/>
      <c r="E18" s="1"/>
    </row>
    <row r="19" spans="1:5" x14ac:dyDescent="0.25">
      <c r="A19" s="1"/>
      <c r="B19" s="69" t="s">
        <v>139</v>
      </c>
      <c r="C19" s="10">
        <f>'Fane 8. Skattesagen'!G13</f>
        <v>0</v>
      </c>
      <c r="D19" s="11" t="s">
        <v>3</v>
      </c>
      <c r="E19" s="1"/>
    </row>
    <row r="20" spans="1:5" x14ac:dyDescent="0.25">
      <c r="A20" s="1"/>
      <c r="B20" s="51" t="s">
        <v>128</v>
      </c>
      <c r="C20" s="12">
        <f>SUM(C13,C15,C17,C19)</f>
        <v>29666582.6598676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Y2bal4WcxXxNUJBi7XTAoYYo2Jnom+C4EylZa0/pa4A1BwY2zjmct9hgDRV3p+gSgxxi4BXNO4rmG8w5FoypA==" saltValue="U/ErP0xWdAAL2pfVzxndN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13949252.440409996</v>
      </c>
      <c r="D8" s="8" t="s">
        <v>3</v>
      </c>
      <c r="E8" s="1"/>
    </row>
    <row r="9" spans="1:5" ht="15" customHeight="1" x14ac:dyDescent="0.25">
      <c r="A9" s="1"/>
      <c r="B9" s="29" t="s">
        <v>17</v>
      </c>
      <c r="C9" s="9">
        <f>SUM(C8:C8)*'Fane 13. Nøgletal'!C16</f>
        <v>1127099.5971851277</v>
      </c>
      <c r="D9" s="8" t="s">
        <v>3</v>
      </c>
      <c r="E9" s="1"/>
    </row>
    <row r="10" spans="1:5" ht="15" customHeight="1" x14ac:dyDescent="0.25">
      <c r="A10" s="1"/>
      <c r="B10" s="29" t="s">
        <v>9</v>
      </c>
      <c r="C10" s="9">
        <f>-SUM(C8:C9)*'Fane 5. Individuelt eff. krav'!G9</f>
        <v>-36306.098365217484</v>
      </c>
      <c r="D10" s="8" t="s">
        <v>3</v>
      </c>
      <c r="E10" s="1"/>
    </row>
    <row r="11" spans="1:5" ht="15" customHeight="1" x14ac:dyDescent="0.25">
      <c r="A11" s="1"/>
      <c r="B11" s="29" t="s">
        <v>22</v>
      </c>
      <c r="C11" s="9">
        <f>-'Fane 4.1. Gen. krav - drift'!G59</f>
        <v>-185463.78863956116</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14854582.150590345</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16987290.501189779</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69" t="s">
        <v>139</v>
      </c>
      <c r="C19" s="10">
        <f>'Fane 8. Skattesagen'!G14</f>
        <v>0</v>
      </c>
      <c r="D19" s="11" t="s">
        <v>3</v>
      </c>
      <c r="E19" s="1"/>
    </row>
    <row r="20" spans="1:5" x14ac:dyDescent="0.25">
      <c r="A20" s="1"/>
      <c r="B20" s="51" t="s">
        <v>143</v>
      </c>
      <c r="C20" s="12">
        <f>SUM(C13,C15,C17,C19)</f>
        <v>31841872.651780125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E7ByduRg8z6JagTGH0ssV8QSHZJhFK0c0aKX3RMwOn723aQ4YT5AE0WATaoD5FA9GkMClNa19aWR7drmX951g==" saltValue="OYxaA9Oa1+9aeDNOEozGW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14854582.150590345</v>
      </c>
      <c r="D8" s="8" t="s">
        <v>3</v>
      </c>
      <c r="E8" s="1"/>
    </row>
    <row r="9" spans="1:5" ht="15" customHeight="1" x14ac:dyDescent="0.25">
      <c r="A9" s="1"/>
      <c r="B9" s="29" t="s">
        <v>17</v>
      </c>
      <c r="C9" s="9">
        <f>SUM(C8:C8)*'Fane 13. Nøgletal'!C16</f>
        <v>1200250.2377676999</v>
      </c>
      <c r="D9" s="8" t="s">
        <v>3</v>
      </c>
      <c r="E9" s="1"/>
    </row>
    <row r="10" spans="1:5" ht="15" customHeight="1" x14ac:dyDescent="0.25">
      <c r="A10" s="1"/>
      <c r="B10" s="29" t="s">
        <v>9</v>
      </c>
      <c r="C10" s="9">
        <f>-SUM(C8:C9)*'Fane 5. Individuelt eff. krav'!G9</f>
        <v>-38662.424602137718</v>
      </c>
      <c r="D10" s="8" t="s">
        <v>3</v>
      </c>
      <c r="E10" s="1"/>
    </row>
    <row r="11" spans="1:5" ht="15" customHeight="1" x14ac:dyDescent="0.25">
      <c r="A11" s="1"/>
      <c r="B11" s="29" t="s">
        <v>22</v>
      </c>
      <c r="C11" s="9">
        <f>-'Fane 4.1. Gen. krav - drift'!G64</f>
        <v>-196440.27750640496</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15819729.686249502</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18359863.573685914</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9" t="s">
        <v>139</v>
      </c>
      <c r="C19" s="10">
        <f>'Fane 8. Skattesagen'!G15</f>
        <v>0</v>
      </c>
      <c r="D19" s="11" t="s">
        <v>3</v>
      </c>
      <c r="E19" s="1"/>
    </row>
    <row r="20" spans="1:5" x14ac:dyDescent="0.25">
      <c r="A20" s="1"/>
      <c r="B20" s="51" t="s">
        <v>205</v>
      </c>
      <c r="C20" s="12">
        <f>SUM(C13,C15,C17,C19)</f>
        <v>34179593.259935416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qNb0BGgiLE3ByqBjs3YOzjwgTcvGTQ/txywNVLR1WsBcMBzaI9dUQl7zDr81ZhrcalshJ0BY/LF3B7GZxUxSA==" saltValue="TLatemiNYHPyxWXIZzqfp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11054251.827739842</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393531.3650675384</v>
      </c>
      <c r="D15" s="8" t="s">
        <v>3</v>
      </c>
      <c r="E15" s="1"/>
    </row>
    <row r="16" spans="1:5" x14ac:dyDescent="0.25">
      <c r="A16" s="1"/>
      <c r="B16" s="24" t="s">
        <v>9</v>
      </c>
      <c r="C16" s="9">
        <v>-27567.964825000585</v>
      </c>
      <c r="D16" s="8" t="s">
        <v>3</v>
      </c>
      <c r="E16" s="1"/>
    </row>
    <row r="17" spans="1:5" x14ac:dyDescent="0.25">
      <c r="A17" s="1"/>
      <c r="B17" s="24" t="s">
        <v>22</v>
      </c>
      <c r="C17" s="9">
        <v>-131589.63654583661</v>
      </c>
      <c r="D17" s="8" t="s">
        <v>3</v>
      </c>
      <c r="E17" s="1"/>
    </row>
    <row r="18" spans="1:5" x14ac:dyDescent="0.25">
      <c r="A18" s="1"/>
      <c r="B18" s="24" t="s">
        <v>23</v>
      </c>
      <c r="C18" s="9">
        <v>0</v>
      </c>
      <c r="D18" s="8" t="s">
        <v>3</v>
      </c>
      <c r="E18" s="1"/>
    </row>
    <row r="19" spans="1:5" x14ac:dyDescent="0.25">
      <c r="A19" s="1"/>
      <c r="B19" s="70" t="s">
        <v>19</v>
      </c>
      <c r="C19" s="10">
        <v>11288625.591436543</v>
      </c>
      <c r="D19" s="11" t="s">
        <v>3</v>
      </c>
      <c r="E19" s="1"/>
    </row>
    <row r="20" spans="1:5" x14ac:dyDescent="0.25">
      <c r="A20" s="1"/>
      <c r="B20" s="51" t="s">
        <v>11</v>
      </c>
      <c r="C20" s="52"/>
      <c r="D20" s="19"/>
      <c r="E20" s="1"/>
    </row>
    <row r="21" spans="1:5" x14ac:dyDescent="0.25">
      <c r="A21" s="1"/>
      <c r="B21" s="53" t="s">
        <v>11</v>
      </c>
      <c r="C21" s="10">
        <v>13423202.029156322</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6">
        <v>0</v>
      </c>
      <c r="D27" s="11" t="s">
        <v>3</v>
      </c>
      <c r="E27" s="1"/>
    </row>
    <row r="28" spans="1:5" x14ac:dyDescent="0.25">
      <c r="A28" s="1"/>
      <c r="B28" s="26" t="s">
        <v>117</v>
      </c>
      <c r="C28" s="52"/>
      <c r="D28" s="19"/>
      <c r="E28" s="1"/>
    </row>
    <row r="29" spans="1:5" x14ac:dyDescent="0.25">
      <c r="A29" s="1"/>
      <c r="B29" s="69" t="s">
        <v>118</v>
      </c>
      <c r="C29" s="10">
        <v>-1599550.5603904827</v>
      </c>
      <c r="D29" s="11" t="s">
        <v>3</v>
      </c>
      <c r="E29" s="1"/>
    </row>
    <row r="30" spans="1:5" x14ac:dyDescent="0.25">
      <c r="A30" s="1"/>
      <c r="B30" s="26" t="s">
        <v>138</v>
      </c>
      <c r="C30" s="52"/>
      <c r="D30" s="19"/>
      <c r="E30" s="1"/>
    </row>
    <row r="31" spans="1:5" x14ac:dyDescent="0.25">
      <c r="A31" s="1"/>
      <c r="B31" s="69" t="s">
        <v>139</v>
      </c>
      <c r="C31" s="10">
        <v>0</v>
      </c>
      <c r="D31" s="11" t="s">
        <v>3</v>
      </c>
      <c r="E31" s="1"/>
    </row>
    <row r="32" spans="1:5" x14ac:dyDescent="0.25">
      <c r="A32" s="1"/>
      <c r="B32" s="51" t="s">
        <v>239</v>
      </c>
      <c r="C32" s="33">
        <v>23112277.060202379</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oozQK75kPesFzZHiaNlArij/8LW39EhG0AfxHR2KicsvXNwK9CUG12F6A+DCtBSipisGFqK6ToRYInZzE8DxRg==" saltValue="fzJj3UeTUQGmnLoh3FFZw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6705662.2693091314</v>
      </c>
      <c r="H5" s="14" t="s">
        <v>3</v>
      </c>
      <c r="I5" s="1"/>
    </row>
    <row r="6" spans="1:9" x14ac:dyDescent="0.25">
      <c r="A6" s="1"/>
      <c r="B6" s="98" t="s">
        <v>37</v>
      </c>
      <c r="C6" s="99"/>
      <c r="D6" s="99"/>
      <c r="E6" s="99"/>
      <c r="F6" s="100"/>
      <c r="G6" s="22">
        <f>G5*'Fane 13. Nøgletal'!C33</f>
        <v>134113.24538618262</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6655007.6965267705</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133100.15393053542</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6632127.7800661111</v>
      </c>
      <c r="H16" s="14" t="s">
        <v>3</v>
      </c>
      <c r="I16" s="1"/>
    </row>
    <row r="17" spans="1:9" x14ac:dyDescent="0.25">
      <c r="A17" s="1"/>
      <c r="B17" s="98" t="s">
        <v>100</v>
      </c>
      <c r="C17" s="99"/>
      <c r="D17" s="99"/>
      <c r="E17" s="99"/>
      <c r="F17" s="100"/>
      <c r="G17" s="47">
        <v>-20864.781339149729</v>
      </c>
      <c r="H17" s="14" t="s">
        <v>3</v>
      </c>
      <c r="I17" s="1"/>
    </row>
    <row r="18" spans="1:9" x14ac:dyDescent="0.25">
      <c r="A18" s="1"/>
      <c r="B18" s="101" t="s">
        <v>229</v>
      </c>
      <c r="C18" s="102"/>
      <c r="D18" s="102"/>
      <c r="E18" s="102"/>
      <c r="F18" s="103"/>
      <c r="G18" s="47">
        <v>0</v>
      </c>
      <c r="H18" s="14" t="s">
        <v>3</v>
      </c>
      <c r="I18" s="1"/>
    </row>
    <row r="19" spans="1:9" x14ac:dyDescent="0.25">
      <c r="A19" s="1"/>
      <c r="B19" s="98" t="s">
        <v>41</v>
      </c>
      <c r="C19" s="99"/>
      <c r="D19" s="99"/>
      <c r="E19" s="99"/>
      <c r="F19" s="100"/>
      <c r="G19" s="22">
        <f>SUM(G16:G18)*'Fane 13. Nøgletal'!C33</f>
        <v>132225.25997453922</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6588533.4765373375</v>
      </c>
      <c r="H23" s="14" t="s">
        <v>3</v>
      </c>
      <c r="I23" s="1"/>
    </row>
    <row r="24" spans="1:9" x14ac:dyDescent="0.25">
      <c r="A24" s="1"/>
      <c r="B24" s="101" t="s">
        <v>230</v>
      </c>
      <c r="C24" s="102"/>
      <c r="D24" s="102"/>
      <c r="E24" s="102"/>
      <c r="F24" s="103"/>
      <c r="G24" s="47">
        <v>0</v>
      </c>
      <c r="H24" s="14" t="s">
        <v>3</v>
      </c>
      <c r="I24" s="1"/>
    </row>
    <row r="25" spans="1:9" x14ac:dyDescent="0.25">
      <c r="A25" s="1"/>
      <c r="B25" s="98" t="s">
        <v>43</v>
      </c>
      <c r="C25" s="99"/>
      <c r="D25" s="99"/>
      <c r="E25" s="99"/>
      <c r="F25" s="100"/>
      <c r="G25" s="22">
        <f>(G23+G24)*'Fane 13. Nøgletal'!C33</f>
        <v>131770.66953074676</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6535535.3132520709</v>
      </c>
      <c r="H29" s="14" t="s">
        <v>3</v>
      </c>
      <c r="I29" s="1"/>
    </row>
    <row r="30" spans="1:9" x14ac:dyDescent="0.25">
      <c r="A30" s="1"/>
      <c r="B30" s="98" t="s">
        <v>231</v>
      </c>
      <c r="C30" s="99"/>
      <c r="D30" s="99"/>
      <c r="E30" s="99"/>
      <c r="F30" s="100"/>
      <c r="G30" s="47">
        <v>0</v>
      </c>
      <c r="H30" s="14" t="s">
        <v>3</v>
      </c>
      <c r="I30" s="1"/>
    </row>
    <row r="31" spans="1:9" x14ac:dyDescent="0.25">
      <c r="A31" s="1"/>
      <c r="B31" s="98" t="s">
        <v>115</v>
      </c>
      <c r="C31" s="99"/>
      <c r="D31" s="99"/>
      <c r="E31" s="99"/>
      <c r="F31" s="100"/>
      <c r="G31" s="22">
        <f>(G29+G30)*'Fane 13. Nøgletal'!C33</f>
        <v>130710.70626504142</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6482963.4671922708</v>
      </c>
      <c r="H35" s="14" t="s">
        <v>3</v>
      </c>
      <c r="I35" s="1"/>
    </row>
    <row r="36" spans="1:9" x14ac:dyDescent="0.25">
      <c r="A36" s="1"/>
      <c r="B36" s="98" t="s">
        <v>232</v>
      </c>
      <c r="C36" s="99"/>
      <c r="D36" s="99"/>
      <c r="E36" s="99"/>
      <c r="F36" s="100"/>
      <c r="G36" s="47">
        <v>0</v>
      </c>
      <c r="H36" s="14" t="s">
        <v>3</v>
      </c>
      <c r="I36" s="1"/>
    </row>
    <row r="37" spans="1:9" x14ac:dyDescent="0.25">
      <c r="A37" s="1"/>
      <c r="B37" s="98" t="s">
        <v>123</v>
      </c>
      <c r="C37" s="99"/>
      <c r="D37" s="99"/>
      <c r="E37" s="99"/>
      <c r="F37" s="100"/>
      <c r="G37" s="22">
        <f>(G35+G36)*'Fane 13. Nøgletal'!C33</f>
        <v>129659.26934384542</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6579481.8272918295</v>
      </c>
      <c r="H41" s="14" t="s">
        <v>3</v>
      </c>
      <c r="I41" s="1"/>
    </row>
    <row r="42" spans="1:9" x14ac:dyDescent="0.25">
      <c r="A42" s="1"/>
      <c r="B42" s="98" t="s">
        <v>156</v>
      </c>
      <c r="C42" s="99"/>
      <c r="D42" s="99"/>
      <c r="E42" s="99"/>
      <c r="F42" s="100"/>
      <c r="G42" s="47">
        <v>0</v>
      </c>
      <c r="H42" s="14" t="s">
        <v>3</v>
      </c>
      <c r="I42" s="1"/>
    </row>
    <row r="43" spans="1:9" x14ac:dyDescent="0.25">
      <c r="A43" s="1"/>
      <c r="B43" s="98" t="s">
        <v>166</v>
      </c>
      <c r="C43" s="99"/>
      <c r="D43" s="99"/>
      <c r="E43" s="99"/>
      <c r="F43" s="100"/>
      <c r="G43" s="22">
        <f>(G41+G42)*'Fane 13. Nøgletal'!C33</f>
        <v>131589.63654583661</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6677437.1527365502</v>
      </c>
      <c r="H47" s="14" t="s">
        <v>3</v>
      </c>
      <c r="I47" s="1"/>
    </row>
    <row r="48" spans="1:9" x14ac:dyDescent="0.25">
      <c r="A48" s="1"/>
      <c r="B48" s="98" t="s">
        <v>206</v>
      </c>
      <c r="C48" s="99"/>
      <c r="D48" s="99"/>
      <c r="E48" s="99"/>
      <c r="F48" s="100"/>
      <c r="G48" s="22">
        <f>('Fane 2.1. Økonomisk ramme 2024'!C9+'Fane 2.1. Økonomisk ramme 2024'!C11+'Fane 2.1. Økonomisk ramme 2024'!C13)*(1+'Fane 13. Nøgletal'!C16)</f>
        <v>1588389.7851987199</v>
      </c>
      <c r="H48" s="14" t="s">
        <v>3</v>
      </c>
      <c r="I48" s="1"/>
    </row>
    <row r="49" spans="1:9" x14ac:dyDescent="0.25">
      <c r="A49" s="1"/>
      <c r="B49" s="98" t="s">
        <v>167</v>
      </c>
      <c r="C49" s="99"/>
      <c r="D49" s="99"/>
      <c r="E49" s="99"/>
      <c r="F49" s="100"/>
      <c r="G49" s="22">
        <f>G47*'Fane 13. Nøgletal'!C33+G48*'Fane 13. Nøgletal'!C33</f>
        <v>165316.5387587054</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8755031.6394300312</v>
      </c>
      <c r="H53" s="14" t="s">
        <v>3</v>
      </c>
      <c r="I53" s="1"/>
    </row>
    <row r="54" spans="1:9" x14ac:dyDescent="0.25">
      <c r="A54" s="1"/>
      <c r="B54" s="98" t="s">
        <v>135</v>
      </c>
      <c r="C54" s="99"/>
      <c r="D54" s="99"/>
      <c r="E54" s="99"/>
      <c r="F54" s="100"/>
      <c r="G54" s="22">
        <f>(G53)*'Fane 13. Nøgletal'!C33</f>
        <v>175100.63278860063</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9273189.4319780581</v>
      </c>
      <c r="H58" s="14" t="s">
        <v>3</v>
      </c>
      <c r="I58" s="1"/>
    </row>
    <row r="59" spans="1:9" x14ac:dyDescent="0.25">
      <c r="A59" s="1"/>
      <c r="B59" s="98" t="s">
        <v>146</v>
      </c>
      <c r="C59" s="99"/>
      <c r="D59" s="99"/>
      <c r="E59" s="99"/>
      <c r="F59" s="100"/>
      <c r="G59" s="22">
        <f>(G58)*'Fane 13. Nøgletal'!C33</f>
        <v>185463.78863956116</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9822013.8753202483</v>
      </c>
      <c r="H63" s="14" t="s">
        <v>3</v>
      </c>
      <c r="I63" s="1"/>
    </row>
    <row r="64" spans="1:9" x14ac:dyDescent="0.25">
      <c r="A64" s="1"/>
      <c r="B64" s="98" t="s">
        <v>222</v>
      </c>
      <c r="C64" s="99"/>
      <c r="D64" s="99"/>
      <c r="E64" s="99"/>
      <c r="F64" s="100"/>
      <c r="G64" s="22">
        <f>(G63)*'Fane 13. Nøgletal'!C33</f>
        <v>196440.27750640496</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j1ojBs1MPL7ibqbO/NIIC+TSFn4Q9a1ZM0H7350T2YnJngpybhuKpxpL6wCOoWtnHtWudGNRirBm8c8ktYacg==" saltValue="6S9z4nw8EJFOTLAdHcU1I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4313685.7546534799</v>
      </c>
      <c r="H5" s="14" t="s">
        <v>3</v>
      </c>
      <c r="I5" s="1"/>
    </row>
    <row r="6" spans="1:9" x14ac:dyDescent="0.25">
      <c r="A6" s="1"/>
      <c r="B6" s="98" t="s">
        <v>49</v>
      </c>
      <c r="C6" s="99"/>
      <c r="D6" s="99"/>
      <c r="E6" s="99"/>
      <c r="F6" s="100"/>
      <c r="G6" s="22">
        <f>G5*'Fane 13. Nøgletal'!C21</f>
        <v>39254.540367346672</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4328716.490707567</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39391.320065438864</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4361814.76602598</v>
      </c>
      <c r="H16" s="14" t="s">
        <v>3</v>
      </c>
      <c r="I16" s="1"/>
    </row>
    <row r="17" spans="1:9" x14ac:dyDescent="0.25">
      <c r="A17" s="1"/>
      <c r="B17" s="98" t="s">
        <v>101</v>
      </c>
      <c r="C17" s="99"/>
      <c r="D17" s="99"/>
      <c r="E17" s="99"/>
      <c r="F17" s="100"/>
      <c r="G17" s="47">
        <v>95302.436928426381</v>
      </c>
      <c r="H17" s="14" t="s">
        <v>3</v>
      </c>
      <c r="I17" s="1"/>
    </row>
    <row r="18" spans="1:9" x14ac:dyDescent="0.25">
      <c r="A18" s="1"/>
      <c r="B18" s="101" t="s">
        <v>58</v>
      </c>
      <c r="C18" s="102"/>
      <c r="D18" s="102"/>
      <c r="E18" s="102"/>
      <c r="F18" s="103"/>
      <c r="G18" s="47">
        <v>111438.23576164998</v>
      </c>
      <c r="H18" s="14" t="s">
        <v>3</v>
      </c>
      <c r="I18" s="1"/>
    </row>
    <row r="19" spans="1:9" x14ac:dyDescent="0.25">
      <c r="A19" s="1"/>
      <c r="B19" s="98" t="s">
        <v>59</v>
      </c>
      <c r="C19" s="99"/>
      <c r="D19" s="99"/>
      <c r="E19" s="99"/>
      <c r="F19" s="100"/>
      <c r="G19" s="22">
        <f>(G16+G17+G18)*'Fane 13. Nøgletal'!C23</f>
        <v>39746.432316829683</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4605345.8786073728</v>
      </c>
      <c r="H23" s="14" t="s">
        <v>3</v>
      </c>
      <c r="I23" s="1"/>
    </row>
    <row r="24" spans="1:9" x14ac:dyDescent="0.25">
      <c r="A24" s="1"/>
      <c r="B24" s="101" t="s">
        <v>62</v>
      </c>
      <c r="C24" s="102"/>
      <c r="D24" s="102"/>
      <c r="E24" s="102"/>
      <c r="F24" s="103"/>
      <c r="G24" s="47">
        <v>383503.68951018294</v>
      </c>
      <c r="H24" s="14" t="s">
        <v>3</v>
      </c>
      <c r="I24" s="1"/>
    </row>
    <row r="25" spans="1:9" x14ac:dyDescent="0.25">
      <c r="A25" s="1"/>
      <c r="B25" s="98" t="s">
        <v>63</v>
      </c>
      <c r="C25" s="99"/>
      <c r="D25" s="99"/>
      <c r="E25" s="99"/>
      <c r="F25" s="100"/>
      <c r="G25" s="22">
        <f>G23*'Fane 13. Nøgletal'!C23+G24*'Fane 13. Nøgletal'!C24</f>
        <v>50958.013925973341</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4998133.8311527194</v>
      </c>
      <c r="H29" s="14" t="s">
        <v>3</v>
      </c>
      <c r="I29" s="1"/>
    </row>
    <row r="30" spans="1:9" x14ac:dyDescent="0.25">
      <c r="A30" s="1"/>
      <c r="B30" s="98" t="s">
        <v>113</v>
      </c>
      <c r="C30" s="99"/>
      <c r="D30" s="99"/>
      <c r="E30" s="99"/>
      <c r="F30" s="100"/>
      <c r="G30" s="47">
        <v>27463.031656200001</v>
      </c>
      <c r="H30" s="14" t="s">
        <v>3</v>
      </c>
      <c r="I30" s="1"/>
    </row>
    <row r="31" spans="1:9" x14ac:dyDescent="0.25">
      <c r="A31" s="1"/>
      <c r="B31" s="98" t="s">
        <v>120</v>
      </c>
      <c r="C31" s="99"/>
      <c r="D31" s="99"/>
      <c r="E31" s="99"/>
      <c r="F31" s="100"/>
      <c r="G31" s="22">
        <f>(G29+G30)*'Fane 13. Nøgletal'!C25</f>
        <v>138203.91372724529</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4947019.1430604709</v>
      </c>
      <c r="H35" s="14" t="s">
        <v>3</v>
      </c>
      <c r="I35" s="1"/>
    </row>
    <row r="36" spans="1:9" x14ac:dyDescent="0.25">
      <c r="A36" s="1"/>
      <c r="B36" s="98" t="s">
        <v>129</v>
      </c>
      <c r="C36" s="99"/>
      <c r="D36" s="99"/>
      <c r="E36" s="99"/>
      <c r="F36" s="100"/>
      <c r="G36" s="47">
        <v>698925.1723081501</v>
      </c>
      <c r="H36" s="14" t="s">
        <v>3</v>
      </c>
      <c r="I36" s="1"/>
    </row>
    <row r="37" spans="1:9" x14ac:dyDescent="0.25">
      <c r="A37" s="1"/>
      <c r="B37" s="98" t="s">
        <v>125</v>
      </c>
      <c r="C37" s="99"/>
      <c r="D37" s="99"/>
      <c r="E37" s="99"/>
      <c r="F37" s="100"/>
      <c r="G37" s="22">
        <f>G35*'Fane 13. Nøgletal'!C25+G36*'Fane 13. Nøgletal'!C26</f>
        <v>146387.11898432358</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5695341.4325755779</v>
      </c>
      <c r="H41" s="14" t="s">
        <v>3</v>
      </c>
      <c r="I41" s="1"/>
    </row>
    <row r="42" spans="1:9" x14ac:dyDescent="0.25">
      <c r="A42" s="1"/>
      <c r="B42" s="98" t="s">
        <v>169</v>
      </c>
      <c r="C42" s="99"/>
      <c r="D42" s="99"/>
      <c r="E42" s="99"/>
      <c r="F42" s="100"/>
      <c r="G42" s="9">
        <v>0</v>
      </c>
      <c r="H42" s="14" t="s">
        <v>3</v>
      </c>
      <c r="I42" s="1"/>
    </row>
    <row r="43" spans="1:9" x14ac:dyDescent="0.25">
      <c r="A43" s="1"/>
      <c r="B43" s="98" t="s">
        <v>65</v>
      </c>
      <c r="C43" s="99"/>
      <c r="D43" s="99"/>
      <c r="E43" s="99"/>
      <c r="F43" s="100"/>
      <c r="G43" s="9">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5898095.5875752689</v>
      </c>
      <c r="H47" s="14" t="s">
        <v>3</v>
      </c>
      <c r="I47" s="1"/>
    </row>
    <row r="48" spans="1:9" x14ac:dyDescent="0.25">
      <c r="A48" s="1"/>
      <c r="B48" s="98" t="s">
        <v>210</v>
      </c>
      <c r="C48" s="99"/>
      <c r="D48" s="99"/>
      <c r="E48" s="99"/>
      <c r="F48" s="100"/>
      <c r="G48" s="22">
        <f>('Fane 2.1. Økonomisk ramme 2024'!C10+'Fane 2.1. Økonomisk ramme 2024'!C12+'Fane 2.1. Økonomisk ramme 2024'!C14)*(1+'Fane 13. Nøgletal'!C16)</f>
        <v>18419.052395520001</v>
      </c>
      <c r="H48" s="14" t="s">
        <v>3</v>
      </c>
      <c r="I48" s="1"/>
    </row>
    <row r="49" spans="1:9" x14ac:dyDescent="0.25">
      <c r="A49" s="1"/>
      <c r="B49" s="98" t="s">
        <v>211</v>
      </c>
      <c r="C49" s="99"/>
      <c r="D49" s="99"/>
      <c r="E49" s="99"/>
      <c r="F49" s="100"/>
      <c r="G49" s="9">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6394569.0228804285</v>
      </c>
      <c r="H53" s="14" t="s">
        <v>3</v>
      </c>
      <c r="I53" s="1"/>
    </row>
    <row r="54" spans="1:9" x14ac:dyDescent="0.25">
      <c r="A54" s="1"/>
      <c r="B54" s="98" t="s">
        <v>132</v>
      </c>
      <c r="C54" s="99"/>
      <c r="D54" s="99"/>
      <c r="E54" s="99"/>
      <c r="F54" s="100"/>
      <c r="G54" s="9">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6911250.1999291666</v>
      </c>
      <c r="H58" s="14" t="s">
        <v>3</v>
      </c>
      <c r="I58" s="1"/>
    </row>
    <row r="59" spans="1:9" x14ac:dyDescent="0.25">
      <c r="A59" s="1"/>
      <c r="B59" s="98" t="s">
        <v>149</v>
      </c>
      <c r="C59" s="99"/>
      <c r="D59" s="99"/>
      <c r="E59" s="99"/>
      <c r="F59" s="100"/>
      <c r="G59" s="9">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7469679.2160834428</v>
      </c>
      <c r="H63" s="14" t="s">
        <v>3</v>
      </c>
      <c r="I63" s="1"/>
    </row>
    <row r="64" spans="1:9" x14ac:dyDescent="0.25">
      <c r="A64" s="1"/>
      <c r="B64" s="98" t="s">
        <v>225</v>
      </c>
      <c r="C64" s="99"/>
      <c r="D64" s="99"/>
      <c r="E64" s="99"/>
      <c r="F64" s="100"/>
      <c r="G64" s="9">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P5YChWgVUf+tE0atmOEWH5BTu8EQgbvE6CnEeKUJAYzPATsQDsBho9FRm56eMRR8fcBLeJh7lqefiScj3uOpUw==" saltValue="MPUEviM3zsdJ0Cmn3Hdrqw=="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60">
        <v>2.4081487534041946E-3</v>
      </c>
      <c r="H9" s="1"/>
    </row>
    <row r="10" spans="1:8" x14ac:dyDescent="0.25">
      <c r="A10" s="1"/>
      <c r="B10" s="51"/>
      <c r="C10" s="52"/>
      <c r="D10" s="52"/>
      <c r="E10" s="52"/>
      <c r="F10" s="52"/>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qMyIkPrPumkJfzabBrOsQeHRDG60va7yt/+z3fd6fmaU92kqwa1zjcPMil2pnFSRFJpKLHbztnWk4P0P9huhog==" saltValue="yx/8eDje7Wh2NITJrTfAEQ=="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2023-11-20T12:10:46Z</dcterms:modified>
</cp:coreProperties>
</file>