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Brøndby AS (V08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4" i="19" l="1"/>
  <c r="E33" i="32" l="1"/>
  <c r="E39" i="32" s="1"/>
  <c r="E41" i="32" s="1"/>
  <c r="E16" i="27" l="1"/>
  <c r="E11" i="11" l="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2" i="11"/>
  <c r="C10" i="37" s="1"/>
  <c r="C12" i="37" s="1"/>
  <c r="G12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2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<sst xmlns="http://schemas.openxmlformats.org/spreadsheetml/2006/main" count="593" uniqueCount="249">
  <si>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</si>
  <si>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</si>
  <si>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</si>
  <si>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</si>
  <si>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</si>
  <si>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</si>
  <si>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</si>
  <si>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</si>
  <si>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</si>
  <si>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</si>
  <si>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</si>
  <si>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</si>
  <si>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</si>
  <si>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</si>
  <si>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</si>
  <si>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</si>
  <si>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</si>
  <si>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</si>
  <si>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</si>
  <si>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</si>
  <si>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</si>
  <si>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</si>
  <si>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</si>
  <si>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</si>
  <si>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</si>
  <si>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</si>
  <si>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</si>
  <si>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</si>
  <si>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</si>
  <si>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</si>
  <si>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</si>
  <si>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</si>
  <si>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</si>
  <si>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</si>
  <si>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</si>
  <si>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</si>
  <si>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</si>
  <si>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</si>
  <si>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</si>
  <si>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</si>
  <si>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</si>
  <si>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</si>
  <si>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</si>
  <si>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</si>
  <si>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</si>
  <si>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</si>
  <si>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</si>
  <si>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</si>
  <si>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</si>
  <si>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</si>
  <si>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</si>
  <si>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</si>
  <si>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</si>
  <si>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</si>
  <si>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</si>
  <si>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</si>
  <si>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</si>
  <si>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</si>
  <si>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</si>
  <si>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</si>
  <si>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</si>
  <si>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</si>
  <si>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</si>
  <si>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</si>
  <si>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</si>
  <si>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</si>
  <si>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</si>
  <si>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</si>
  <si>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</si>
  <si>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</si>
  <si>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</si>
  <si>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</si>
  <si>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</si>
  <si>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</si>
  <si>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</si>
  <si>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</si>
  <si>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</si>
  <si>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</si>
  <si>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</si>
  <si>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</si>
  <si>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</si>
  <si>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</si>
  <si>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</si>
  <si>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</si>
  <si>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</si>
  <si>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</si>
  <si>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</si>
  <si>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</si>
  <si>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</si>
  <si>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</si>
  <si>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</si>
  <si>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</si>
  <si>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</si>
  <si>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</si>
  <si>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</si>
  <si>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</si>
  <si>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</si>
  <si>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</si>
  <si>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</si>
  <si>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</si>
  <si>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</si>
  <si>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</si>
  <si>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</si>
  <si>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</si>
  <si>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</si>
  <si>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</si>
  <si>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</si>
  <si>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</si>
  <si>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</si>
  <si>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</si>
  <si>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</si>
  <si>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</si>
  <si>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</si>
  <si>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</si>
  <si>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</si>
  <si>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</si>
  <si>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</si>
  <si>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</si>
  <si>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</si>
  <si>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</si>
  <si>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</si>
  <si>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</si>
  <si>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</si>
  <si>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</si>
  <si>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</si>
  <si>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</si>
  <si>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</si>
  <si>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</si>
  <si>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</si>
  <si>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</si>
  <si>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</si>
  <si>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</si>
  <si>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</si>
  <si>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</si>
  <si>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</si>
  <si>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</si>
  <si>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</si>
  <si>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</si>
  <si>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</si>
  <si>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</si>
  <si>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</si>
  <si>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</si>
  <si>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</si>
  <si>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</si>
  <si>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</si>
  <si>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</si>
  <si>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</si>
  <si>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</si>
  <si>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</si>
  <si>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</si>
  <si>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</si>
  <si>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</si>
  <si>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</si>
  <si>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</si>
  <si>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</si>
  <si>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</si>
  <si>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</si>
  <si>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</si>
  <si>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</si>
  <si>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</si>
  <si>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</si>
  <si>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</si>
  <si>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</si>
  <si>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</si>
  <si>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</si>
  <si>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</si>
  <si>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</si>
  <si>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</si>
  <si>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</si>
  <si>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</si>
  <si>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</si>
  <si>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</si>
  <si>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</si>
  <si>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</si>
  <si>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</si>
  <si>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</si>
  <si>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</si>
  <si>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</si>
  <si>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</si>
  <si>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</si>
  <si>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</si>
  <si>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</si>
  <si>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</si>
  <si>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</si>
  <si>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</si>
  <si>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</si>
  <si>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</si>
  <si>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</si>
  <si>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</si>
  <si>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</si>
  <si>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</si>
  <si>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</si>
  <si>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</si>
  <si>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</si>
  <si>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</si>
  <si>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</si>
  <si>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</si>
  <si>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</si>
  <si>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</si>
  <si>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</si>
  <si>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</si>
  <si>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</si>
  <si>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</si>
  <si>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</si>
  <si>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</si>
  <si>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</si>
  <si>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</si>
  <si>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</si>
  <si>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</si>
  <si>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</si>
  <si>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</si>
  <si>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</si>
  <si>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</si>
  <si>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</si>
  <si>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</si>
  <si>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</si>
  <si>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</si>
  <si>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</si>
  <si>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</si>
  <si>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</si>
  <si>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</si>
  <si>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</si>
  <si>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</si>
  <si>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</si>
  <si>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</si>
  <si>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</si>
  <si>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</si>
  <si>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</si>
  <si>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</si>
  <si>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</si>
  <si>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</si>
  <si>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</si>
  <si>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</si>
  <si>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</si>
  <si>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</si>
  <si>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</si>
  <si>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</si>
  <si>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</si>
  <si>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tilknyttet virksomhed</t>
  </si>
  <si>
    <t>Ingen bortfald eller nedsættelse</t>
  </si>
  <si>
    <t>Økonomisk ramme for 2024</t>
  </si>
  <si>
    <t>Blødgøring</t>
  </si>
  <si>
    <t>Ingen engangstillæg</t>
  </si>
  <si>
    <t>Yderligere opkrævningsret efter § 17, stk. 10 - 2017</t>
  </si>
  <si>
    <t>Yderligere opkrævningsret efter § 17, stk. 10 - 2018</t>
  </si>
  <si>
    <t>SRO anlæg</t>
  </si>
  <si>
    <t>10</t>
  </si>
  <si>
    <t>Software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</si>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</sst>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2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2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2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2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2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2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2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2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2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2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49" t="s">
        <v>234</v>
      </c>
      <c r="C10" s="9">
        <v>11548383</v>
      </c>
      <c r="D10" s="14" t="s">
        <v>3</v>
      </c>
      <c r="E10" s="1"/>
      <c r="F10" s="1"/>
    </row>
    <row r="11" spans="1:6" x14ac:dyDescent="0.25">
      <c r="A11" s="1"/>
      <c r="B11" s="49" t="s">
        <v>235</v>
      </c>
      <c r="C11" s="9">
        <v>105543</v>
      </c>
      <c r="D11" s="14" t="s">
        <v>3</v>
      </c>
      <c r="E11" s="1"/>
      <c r="F11" s="1"/>
    </row>
    <row r="12" spans="1:6" x14ac:dyDescent="0.25">
      <c r="A12" s="1"/>
      <c r="B12" s="49" t="s">
        <v>236</v>
      </c>
      <c r="C12" s="9">
        <v>5535596</v>
      </c>
      <c r="D12" s="14" t="s">
        <v>3</v>
      </c>
      <c r="E12" s="1"/>
      <c r="F12" s="1"/>
    </row>
    <row r="13" spans="1:6" x14ac:dyDescent="0.25">
      <c r="A13" s="1"/>
      <c r="B13" s="49" t="s">
        <v>237</v>
      </c>
      <c r="C13" s="9">
        <v>86260</v>
      </c>
      <c r="D13" s="14" t="s">
        <v>3</v>
      </c>
      <c r="E13" s="1"/>
      <c r="F13" s="1"/>
    </row>
    <row r="14" spans="1:6" x14ac:dyDescent="0.25">
      <c r="A14" s="1"/>
      <c r="B14" s="40" t="s">
        <v>169</v>
      </c>
      <c r="C14" s="12">
        <f>SUM(C10:C13)</f>
        <v>17275782</v>
      </c>
      <c r="D14" s="13" t="s">
        <v>3</v>
      </c>
      <c r="E14" s="1"/>
      <c r="F14" s="1"/>
    </row>
    <row r="15" spans="1:6" x14ac:dyDescent="0.25">
      <c r="A15" s="1"/>
      <c r="B15" s="40" t="s">
        <v>170</v>
      </c>
      <c r="C15" s="12">
        <f>C14*(1+'Fane 12. Nøgletal'!C13)^2</f>
        <v>17699882.40819288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172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1540777.6124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-937208.90573041886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603568.70666958112</v>
      </c>
      <c r="F9" s="17" t="s">
        <v>3</v>
      </c>
      <c r="G9" s="1"/>
    </row>
    <row r="10" spans="1:7" ht="15" customHeight="1" x14ac:dyDescent="0.25">
      <c r="A10" s="1"/>
      <c r="B10" s="40"/>
      <c r="C10" s="41"/>
      <c r="D10" s="41"/>
      <c r="E10" s="41"/>
      <c r="F10" s="20"/>
      <c r="G10" s="1"/>
    </row>
    <row r="11" spans="1:7" ht="28.5" customHeight="1" x14ac:dyDescent="0.25">
      <c r="A11" s="1"/>
      <c r="B11" s="75" t="s">
        <v>132</v>
      </c>
      <c r="C11" s="76"/>
      <c r="D11" s="76"/>
      <c r="E11" s="76"/>
      <c r="F11" s="77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38106223.660739526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37847332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258891.66073952615</v>
      </c>
      <c r="F17" s="17" t="s">
        <v>3</v>
      </c>
      <c r="G17" s="1"/>
    </row>
    <row r="18" spans="1:7" x14ac:dyDescent="0.25">
      <c r="A18" s="1"/>
      <c r="B18" s="40"/>
      <c r="C18" s="41"/>
      <c r="D18" s="41"/>
      <c r="E18" s="41"/>
      <c r="F18" s="20"/>
      <c r="G18" s="1"/>
    </row>
    <row r="19" spans="1:7" ht="30" customHeight="1" x14ac:dyDescent="0.25">
      <c r="A19" s="1"/>
      <c r="B19" s="75" t="s">
        <v>133</v>
      </c>
      <c r="C19" s="76"/>
      <c r="D19" s="76"/>
      <c r="E19" s="76"/>
      <c r="F19" s="77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37349892.138364494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37771814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-421921.86163550615</v>
      </c>
      <c r="F25" s="17" t="s">
        <v>3</v>
      </c>
      <c r="G25" s="1"/>
    </row>
    <row r="26" spans="1:7" x14ac:dyDescent="0.25">
      <c r="A26" s="1"/>
      <c r="B26" s="40"/>
      <c r="C26" s="41"/>
      <c r="D26" s="41"/>
      <c r="E26" s="41"/>
      <c r="F26" s="20"/>
      <c r="G26" s="1"/>
    </row>
    <row r="27" spans="1:7" ht="28.5" customHeight="1" x14ac:dyDescent="0.25">
      <c r="A27" s="1"/>
      <c r="B27" s="75" t="s">
        <v>179</v>
      </c>
      <c r="C27" s="76"/>
      <c r="D27" s="76"/>
      <c r="E27" s="76"/>
      <c r="F27" s="77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40538990.282311365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39900378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638612.28231136501</v>
      </c>
      <c r="F33" s="17" t="s">
        <v>3</v>
      </c>
      <c r="G33" s="1"/>
    </row>
    <row r="34" spans="1:7" x14ac:dyDescent="0.25">
      <c r="A34" s="1"/>
      <c r="B34" s="40"/>
      <c r="C34" s="41"/>
      <c r="D34" s="41"/>
      <c r="E34" s="41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243</v>
      </c>
      <c r="C37" s="111"/>
      <c r="D37" s="112"/>
      <c r="E37" s="9">
        <v>1</v>
      </c>
      <c r="F37" s="14"/>
      <c r="G37" s="1"/>
    </row>
    <row r="38" spans="1:7" x14ac:dyDescent="0.25">
      <c r="A38" s="1"/>
      <c r="B38" s="110" t="s">
        <v>244</v>
      </c>
      <c r="C38" s="111"/>
      <c r="D38" s="112"/>
      <c r="E38" s="9">
        <v>0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-163030.20089598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-81515.10044799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25">
      <c r="A10" s="1"/>
      <c r="B10" s="52" t="s">
        <v>245</v>
      </c>
      <c r="C10" s="53" t="s">
        <v>246</v>
      </c>
      <c r="D10" s="9">
        <v>61940</v>
      </c>
      <c r="E10" s="9">
        <f>IFERROR(D10/C10,0)</f>
        <v>6194</v>
      </c>
      <c r="F10" s="9">
        <v>0</v>
      </c>
      <c r="G10" s="9">
        <v>1300</v>
      </c>
      <c r="H10" s="14" t="s">
        <v>3</v>
      </c>
      <c r="I10" s="1"/>
    </row>
    <row r="11" spans="1:9" x14ac:dyDescent="0.25">
      <c r="A11" s="1"/>
      <c r="B11" s="52" t="s">
        <v>247</v>
      </c>
      <c r="C11" s="53" t="s">
        <v>248</v>
      </c>
      <c r="D11" s="9">
        <v>7794</v>
      </c>
      <c r="E11" s="9">
        <f t="shared" ref="E11" si="0">IFERROR(D11/C11,0)</f>
        <v>1558.8</v>
      </c>
      <c r="F11" s="9">
        <v>0</v>
      </c>
      <c r="G11" s="9">
        <v>164</v>
      </c>
      <c r="H11" s="14" t="s">
        <v>3</v>
      </c>
      <c r="I11" s="1"/>
    </row>
    <row r="12" spans="1:9" x14ac:dyDescent="0.25">
      <c r="A12" s="1"/>
      <c r="B12" s="96" t="s">
        <v>198</v>
      </c>
      <c r="C12" s="97"/>
      <c r="D12" s="98"/>
      <c r="E12" s="12">
        <f>SUM(E10:E11)</f>
        <v>7752.8</v>
      </c>
      <c r="F12" s="12">
        <f>SUM(F10:F11)</f>
        <v>0</v>
      </c>
      <c r="G12" s="12">
        <f>SUM(G10:G11)</f>
        <v>1464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2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25">
      <c r="A10" s="1"/>
      <c r="B10" s="25" t="s">
        <v>44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9216.7999999999993</v>
      </c>
      <c r="F10" s="14" t="s">
        <v>3</v>
      </c>
      <c r="G10" s="1"/>
    </row>
    <row r="11" spans="1:7" x14ac:dyDescent="0.25">
      <c r="A11" s="1"/>
      <c r="B11" s="54" t="s">
        <v>241</v>
      </c>
      <c r="C11" s="22">
        <v>1284147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0" t="s">
        <v>48</v>
      </c>
      <c r="C12" s="12">
        <f>SUM(C10:C11)</f>
        <v>1284147</v>
      </c>
      <c r="D12" s="13" t="s">
        <v>3</v>
      </c>
      <c r="E12" s="12">
        <f>SUM(E10:E11)</f>
        <v>9216.7999999999993</v>
      </c>
      <c r="F12" s="13" t="s">
        <v>3</v>
      </c>
      <c r="G12" s="1"/>
    </row>
    <row r="13" spans="1:7" x14ac:dyDescent="0.25">
      <c r="A13" s="1"/>
      <c r="B13" s="40" t="s">
        <v>173</v>
      </c>
      <c r="C13" s="12">
        <f>C12*(1+'Fane 12. Nøgletal'!C13)</f>
        <v>1299813.5933999999</v>
      </c>
      <c r="D13" s="13" t="s">
        <v>3</v>
      </c>
      <c r="E13" s="12">
        <f>E12*(1+'Fane 12. Nøgletal'!C13)</f>
        <v>9329.24496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ps83y9vrqZGmEPhRDIUA7dA1n0u+QiDxdHIpU0x8JxAgdrgOp10jd/HkY9eKPJF7ZEa+aP/MZ0X8M54affT+A==" saltValue="Not4DhSeGYHBzUVBWAYvy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2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2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2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2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XwUjm96YijEoqp3mVwv7bnklPzlkyiV1rAvBGPptvX/KUJphyrfZxE2jTBZvw9PHG05xAeS4RSYVhZ4ihO+Lg==" saltValue="CMooDADP2fvCDYCkrIGTE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2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2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2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2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211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14</v>
      </c>
      <c r="C8" s="20"/>
      <c r="D8" s="1"/>
    </row>
    <row r="9" spans="1:4" x14ac:dyDescent="0.25">
      <c r="A9" s="1"/>
      <c r="B9" s="49" t="s">
        <v>141</v>
      </c>
      <c r="C9" s="26">
        <v>1.2699999999999999E-2</v>
      </c>
      <c r="D9" s="1"/>
    </row>
    <row r="10" spans="1:4" x14ac:dyDescent="0.25">
      <c r="A10" s="1"/>
      <c r="B10" s="49" t="s">
        <v>22</v>
      </c>
      <c r="C10" s="26">
        <v>1.7500000000000002E-2</v>
      </c>
      <c r="D10" s="1"/>
    </row>
    <row r="11" spans="1:4" x14ac:dyDescent="0.25">
      <c r="A11" s="1"/>
      <c r="B11" s="49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0" t="s">
        <v>126</v>
      </c>
      <c r="C17" s="20"/>
      <c r="D17" s="1"/>
    </row>
    <row r="18" spans="1:4" x14ac:dyDescent="0.25">
      <c r="A18" s="1"/>
      <c r="B18" s="49" t="s">
        <v>143</v>
      </c>
      <c r="C18" s="23">
        <v>9.1000000000000004E-3</v>
      </c>
      <c r="D18" s="1"/>
    </row>
    <row r="19" spans="1:4" x14ac:dyDescent="0.25">
      <c r="A19" s="1"/>
      <c r="B19" s="49" t="s">
        <v>144</v>
      </c>
      <c r="C19" s="23">
        <v>1.77E-2</v>
      </c>
      <c r="D19" s="1"/>
    </row>
    <row r="20" spans="1:4" x14ac:dyDescent="0.25">
      <c r="A20" s="1"/>
      <c r="B20" s="49" t="s">
        <v>145</v>
      </c>
      <c r="C20" s="23">
        <v>8.6999999999999994E-3</v>
      </c>
      <c r="D20" s="1"/>
    </row>
    <row r="21" spans="1:4" x14ac:dyDescent="0.25">
      <c r="A21" s="1"/>
      <c r="B21" s="49" t="s">
        <v>146</v>
      </c>
      <c r="C21" s="36">
        <v>2.8400000000000002E-2</v>
      </c>
      <c r="D21" s="1"/>
    </row>
    <row r="22" spans="1:4" x14ac:dyDescent="0.25">
      <c r="A22" s="1"/>
      <c r="B22" s="49" t="s">
        <v>186</v>
      </c>
      <c r="C22" s="36">
        <v>2.75E-2</v>
      </c>
      <c r="D22" s="1"/>
    </row>
    <row r="23" spans="1:4" x14ac:dyDescent="0.25">
      <c r="A23" s="1"/>
      <c r="B23" s="40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0" t="s">
        <v>127</v>
      </c>
      <c r="C26" s="20"/>
      <c r="D26" s="1"/>
    </row>
    <row r="27" spans="1:4" x14ac:dyDescent="0.25">
      <c r="A27" s="1"/>
      <c r="B27" s="49" t="s">
        <v>147</v>
      </c>
      <c r="C27" s="26">
        <v>0.02</v>
      </c>
      <c r="D27" s="1"/>
    </row>
    <row r="28" spans="1:4" x14ac:dyDescent="0.25">
      <c r="A28" s="1"/>
      <c r="B28" s="40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x14ac:dyDescent="0.25">
      <c r="A9" s="1"/>
      <c r="B9" s="45" t="s">
        <v>25</v>
      </c>
      <c r="C9" s="7">
        <f>'Fane 3. Omkostninger i ØR2020'!E20</f>
        <v>20270263.025212914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1299813.5933999999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9329.24496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263268.75153558957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-436853.49230217008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-238739.11641891324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-312730.87706609286</v>
      </c>
      <c r="D19" s="8" t="s">
        <v>3</v>
      </c>
      <c r="E19" s="1"/>
    </row>
    <row r="20" spans="1:5" ht="17.100000000000001" customHeight="1" x14ac:dyDescent="0.25">
      <c r="A20" s="1"/>
      <c r="B20" s="50" t="s">
        <v>20</v>
      </c>
      <c r="C20" s="10">
        <f>SUM(C9:C19)</f>
        <v>20854351.129321326</v>
      </c>
      <c r="D20" s="11" t="s">
        <v>3</v>
      </c>
      <c r="E20" s="1"/>
    </row>
    <row r="21" spans="1:5" ht="15" customHeight="1" x14ac:dyDescent="0.25">
      <c r="A21" s="1"/>
      <c r="B21" s="40" t="s">
        <v>12</v>
      </c>
      <c r="C21" s="41"/>
      <c r="D21" s="20"/>
      <c r="E21" s="1"/>
    </row>
    <row r="22" spans="1:5" ht="15" customHeight="1" x14ac:dyDescent="0.25">
      <c r="A22" s="1"/>
      <c r="B22" s="42" t="s">
        <v>12</v>
      </c>
      <c r="C22" s="10">
        <f>'Fane 6. Ikke-påvirkelige omk.'!C15</f>
        <v>17699882.40819288</v>
      </c>
      <c r="D22" s="11" t="s">
        <v>3</v>
      </c>
      <c r="E22" s="1"/>
    </row>
    <row r="23" spans="1:5" ht="15" customHeight="1" x14ac:dyDescent="0.25">
      <c r="A23" s="1"/>
      <c r="B23" s="40" t="s">
        <v>99</v>
      </c>
      <c r="C23" s="41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1"/>
      <c r="D27" s="20"/>
      <c r="E27" s="1"/>
    </row>
    <row r="28" spans="1:5" x14ac:dyDescent="0.25">
      <c r="A28" s="1"/>
      <c r="B28" s="51" t="s">
        <v>205</v>
      </c>
      <c r="C28" s="10">
        <f>'Fane 7. Kontrol af ØR2019'!E41</f>
        <v>-81515.10044799</v>
      </c>
      <c r="D28" s="11" t="s">
        <v>3</v>
      </c>
      <c r="E28" s="1"/>
    </row>
    <row r="29" spans="1:5" x14ac:dyDescent="0.25">
      <c r="A29" s="1"/>
      <c r="B29" s="40" t="s">
        <v>31</v>
      </c>
      <c r="C29" s="32">
        <f>SUM(C20,C22,C26,C28)</f>
        <v>38472718.43706622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ht="15" customHeight="1" x14ac:dyDescent="0.25">
      <c r="A9" s="1"/>
      <c r="B9" s="45" t="s">
        <v>26</v>
      </c>
      <c r="C9" s="7">
        <f>'Fane 2.1. Økonomisk ramme 2021'!C20</f>
        <v>20854351.129321326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18</v>
      </c>
      <c r="C12" s="9">
        <f>SUM(C9:C11)*'Fane 12. Nøgletal'!C13</f>
        <v>254423.0837777202</v>
      </c>
      <c r="D12" s="8" t="s">
        <v>3</v>
      </c>
      <c r="E12" s="1"/>
    </row>
    <row r="13" spans="1:5" ht="15" customHeight="1" x14ac:dyDescent="0.25">
      <c r="A13" s="1"/>
      <c r="B13" s="39" t="s">
        <v>9</v>
      </c>
      <c r="C13" s="9">
        <f>-SUM(C9:C12)*'Fane 5. Individuelt eff. krav'!G10</f>
        <v>-422175.48426198098</v>
      </c>
      <c r="D13" s="8" t="s">
        <v>3</v>
      </c>
      <c r="E13" s="1"/>
    </row>
    <row r="14" spans="1:5" ht="15" customHeight="1" x14ac:dyDescent="0.25">
      <c r="A14" s="1"/>
      <c r="B14" s="39" t="s">
        <v>27</v>
      </c>
      <c r="C14" s="9">
        <f>-'Fane 4.1. Gen. krav - drift'!G37</f>
        <v>-236818.69896643949</v>
      </c>
      <c r="D14" s="8" t="s">
        <v>3</v>
      </c>
      <c r="E14" s="1"/>
    </row>
    <row r="15" spans="1:5" ht="15" customHeight="1" x14ac:dyDescent="0.25">
      <c r="A15" s="1"/>
      <c r="B15" s="39" t="s">
        <v>28</v>
      </c>
      <c r="C15" s="9">
        <f>-'Fane 4.2. Gen. krav - anlæg'!G37</f>
        <v>-307841.17343772593</v>
      </c>
      <c r="D15" s="8" t="s">
        <v>3</v>
      </c>
      <c r="E15" s="1"/>
    </row>
    <row r="16" spans="1:5" ht="15" customHeight="1" x14ac:dyDescent="0.25">
      <c r="A16" s="1"/>
      <c r="B16" s="46" t="s">
        <v>20</v>
      </c>
      <c r="C16" s="10">
        <f>SUM(C9:C15)</f>
        <v>20141938.8564329</v>
      </c>
      <c r="D16" s="11" t="s">
        <v>3</v>
      </c>
      <c r="E16" s="1"/>
    </row>
    <row r="17" spans="1:5" x14ac:dyDescent="0.25">
      <c r="A17" s="1"/>
      <c r="B17" s="40" t="s">
        <v>12</v>
      </c>
      <c r="C17" s="41"/>
      <c r="D17" s="20"/>
      <c r="E17" s="1"/>
    </row>
    <row r="18" spans="1:5" ht="15" customHeight="1" x14ac:dyDescent="0.25">
      <c r="A18" s="1"/>
      <c r="B18" s="42" t="s">
        <v>12</v>
      </c>
      <c r="C18" s="10">
        <f>'Fane 6. Ikke-påvirkelige omk.'!C15*(1+'Fane 12. Nøgletal'!C13)</f>
        <v>17915820.973572832</v>
      </c>
      <c r="D18" s="11" t="s">
        <v>3</v>
      </c>
      <c r="E18" s="1"/>
    </row>
    <row r="19" spans="1:5" ht="15" customHeight="1" x14ac:dyDescent="0.25">
      <c r="A19" s="1"/>
      <c r="B19" s="40" t="s">
        <v>99</v>
      </c>
      <c r="C19" s="41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1"/>
      <c r="D23" s="20"/>
      <c r="E23" s="1"/>
    </row>
    <row r="24" spans="1:5" ht="15" customHeight="1" x14ac:dyDescent="0.25">
      <c r="A24" s="1"/>
      <c r="B24" s="51" t="s">
        <v>205</v>
      </c>
      <c r="C24" s="10">
        <f>'Fane 7. Kontrol af ØR2019'!E41</f>
        <v>-81515.10044799</v>
      </c>
      <c r="D24" s="11" t="s">
        <v>3</v>
      </c>
      <c r="E24" s="1"/>
    </row>
    <row r="25" spans="1:5" x14ac:dyDescent="0.25">
      <c r="A25" s="1"/>
      <c r="B25" s="40" t="s">
        <v>32</v>
      </c>
      <c r="C25" s="12">
        <f>SUM(C16,C18,C22,C24)</f>
        <v>37976244.729557745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5" t="s">
        <v>165</v>
      </c>
      <c r="C8" s="7">
        <f>'Fane 2.2. Økonomisk ramme 2022'!C16</f>
        <v>20141938.8564329</v>
      </c>
      <c r="D8" s="8" t="s">
        <v>3</v>
      </c>
      <c r="E8" s="1"/>
    </row>
    <row r="9" spans="1:5" ht="15" customHeight="1" x14ac:dyDescent="0.2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245731.6540484814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-407753.41020962759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drift'!G43</f>
        <v>-234913.72935195343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anlæg'!G43</f>
        <v>-303027.9227704404</v>
      </c>
      <c r="D14" s="8" t="s">
        <v>3</v>
      </c>
      <c r="E14" s="1"/>
    </row>
    <row r="15" spans="1:5" x14ac:dyDescent="0.25">
      <c r="A15" s="1"/>
      <c r="B15" s="46" t="s">
        <v>20</v>
      </c>
      <c r="C15" s="10">
        <f>SUM(C8:C14)</f>
        <v>19441975.448149361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omk.'!C15*(1+'Fane 12. Nøgletal'!C13)^2</f>
        <v>18134393.989450421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0" t="s">
        <v>109</v>
      </c>
      <c r="C22" s="12">
        <f>SUM(C15,C17,C21)</f>
        <v>37576369.437599778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5" t="s">
        <v>166</v>
      </c>
      <c r="C8" s="7">
        <f>'Fane 2.3. Økonomisk ramme 2023'!C15</f>
        <v>19441975.448149361</v>
      </c>
      <c r="D8" s="8" t="s">
        <v>3</v>
      </c>
      <c r="E8" s="1"/>
    </row>
    <row r="9" spans="1:5" ht="15" customHeight="1" x14ac:dyDescent="0.2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237192.10046742222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-393583.35097233567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drift'!G49</f>
        <v>-233024.08331304631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anlæg'!G49</f>
        <v>-298289.92968396313</v>
      </c>
      <c r="D14" s="8" t="s">
        <v>3</v>
      </c>
      <c r="E14" s="1"/>
    </row>
    <row r="15" spans="1:5" x14ac:dyDescent="0.25">
      <c r="A15" s="1"/>
      <c r="B15" s="46" t="s">
        <v>20</v>
      </c>
      <c r="C15" s="10">
        <f>SUM(C8:C14)</f>
        <v>18754270.184647433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omk.'!C15*(1+'Fane 12. Nøgletal'!C13)^3</f>
        <v>18355633.596121717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0" t="s">
        <v>240</v>
      </c>
      <c r="C22" s="12">
        <f>SUM(C15,C17,C21)</f>
        <v>37109903.780769154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167</v>
      </c>
      <c r="C8" s="41"/>
      <c r="D8" s="41"/>
      <c r="E8" s="41"/>
      <c r="F8" s="20"/>
      <c r="G8" s="1"/>
    </row>
    <row r="9" spans="1:7" x14ac:dyDescent="0.25">
      <c r="A9" s="1"/>
      <c r="B9" s="93" t="s">
        <v>23</v>
      </c>
      <c r="C9" s="94"/>
      <c r="D9" s="95"/>
      <c r="E9" s="7">
        <v>17977379.971430365</v>
      </c>
      <c r="F9" s="8" t="s">
        <v>3</v>
      </c>
      <c r="G9" s="1"/>
    </row>
    <row r="10" spans="1:7" ht="15" customHeight="1" x14ac:dyDescent="0.25">
      <c r="A10" s="1"/>
      <c r="B10" s="78" t="s">
        <v>45</v>
      </c>
      <c r="C10" s="79"/>
      <c r="D10" s="80"/>
      <c r="E10" s="7">
        <v>0</v>
      </c>
      <c r="F10" s="8" t="s">
        <v>3</v>
      </c>
      <c r="G10" s="1"/>
    </row>
    <row r="11" spans="1:7" ht="15" customHeight="1" x14ac:dyDescent="0.25">
      <c r="A11" s="1"/>
      <c r="B11" s="78" t="s">
        <v>46</v>
      </c>
      <c r="C11" s="79"/>
      <c r="D11" s="80"/>
      <c r="E11" s="9">
        <v>2724457.998075</v>
      </c>
      <c r="F11" s="8" t="s">
        <v>3</v>
      </c>
      <c r="G11" s="1"/>
    </row>
    <row r="12" spans="1:7" x14ac:dyDescent="0.2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2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2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18</v>
      </c>
      <c r="C16" s="79"/>
      <c r="D16" s="80"/>
      <c r="E16" s="9">
        <f>E9*'Fane 12. Nøgletal'!C11+SUM(E10:E15)*'Fane 12. Nøgletal'!C12</f>
        <v>357489.54407925066</v>
      </c>
      <c r="F16" s="8" t="s">
        <v>3</v>
      </c>
      <c r="G16" s="1"/>
    </row>
    <row r="17" spans="1:7" x14ac:dyDescent="0.25">
      <c r="A17" s="1"/>
      <c r="B17" s="78" t="s">
        <v>9</v>
      </c>
      <c r="C17" s="79"/>
      <c r="D17" s="80"/>
      <c r="E17" s="9">
        <f>-SUM(E9:E16)*'Fane 5. Individuelt eff. krav'!G9</f>
        <v>-421186.55027169234</v>
      </c>
      <c r="F17" s="8" t="s">
        <v>3</v>
      </c>
      <c r="G17" s="1"/>
    </row>
    <row r="18" spans="1:7" x14ac:dyDescent="0.25">
      <c r="A18" s="1"/>
      <c r="B18" s="78" t="s">
        <v>27</v>
      </c>
      <c r="C18" s="79"/>
      <c r="D18" s="80"/>
      <c r="E18" s="9">
        <f>-'Fane 4.1. Gen. krav - drift'!G25</f>
        <v>-214148.29895088452</v>
      </c>
      <c r="F18" s="8" t="s">
        <v>3</v>
      </c>
      <c r="G18" s="1"/>
    </row>
    <row r="19" spans="1:7" x14ac:dyDescent="0.25">
      <c r="A19" s="1"/>
      <c r="B19" s="78" t="s">
        <v>28</v>
      </c>
      <c r="C19" s="79"/>
      <c r="D19" s="80"/>
      <c r="E19" s="9">
        <f>-'Fane 4.2. Gen. krav - anlæg'!G25</f>
        <v>-153729.63914912607</v>
      </c>
      <c r="F19" s="8" t="s">
        <v>3</v>
      </c>
      <c r="G19" s="1"/>
    </row>
    <row r="20" spans="1:7" x14ac:dyDescent="0.25">
      <c r="A20" s="1"/>
      <c r="B20" s="81" t="s">
        <v>20</v>
      </c>
      <c r="C20" s="82"/>
      <c r="D20" s="83"/>
      <c r="E20" s="10">
        <f>SUM(E9:E19)</f>
        <v>20270263.025212914</v>
      </c>
      <c r="F20" s="11" t="s">
        <v>3</v>
      </c>
      <c r="G20" s="1"/>
    </row>
    <row r="21" spans="1:7" x14ac:dyDescent="0.25">
      <c r="A21" s="1"/>
      <c r="B21" s="90" t="s">
        <v>12</v>
      </c>
      <c r="C21" s="91"/>
      <c r="D21" s="91"/>
      <c r="E21" s="41"/>
      <c r="F21" s="20"/>
      <c r="G21" s="1"/>
    </row>
    <row r="22" spans="1:7" x14ac:dyDescent="0.25">
      <c r="A22" s="1"/>
      <c r="B22" s="84" t="s">
        <v>12</v>
      </c>
      <c r="C22" s="85"/>
      <c r="D22" s="86"/>
      <c r="E22" s="10">
        <v>19229930.358235739</v>
      </c>
      <c r="F22" s="11" t="s">
        <v>3</v>
      </c>
      <c r="G22" s="1"/>
    </row>
    <row r="23" spans="1:7" ht="15" customHeight="1" x14ac:dyDescent="0.25">
      <c r="A23" s="1"/>
      <c r="B23" s="90" t="s">
        <v>99</v>
      </c>
      <c r="C23" s="91"/>
      <c r="D23" s="91"/>
      <c r="E23" s="41"/>
      <c r="F23" s="41"/>
      <c r="G23" s="1"/>
    </row>
    <row r="24" spans="1:7" ht="14.25" customHeight="1" x14ac:dyDescent="0.25">
      <c r="A24" s="1"/>
      <c r="B24" s="75" t="s">
        <v>95</v>
      </c>
      <c r="C24" s="76"/>
      <c r="D24" s="77"/>
      <c r="E24" s="9">
        <v>0</v>
      </c>
      <c r="F24" s="8" t="s">
        <v>3</v>
      </c>
      <c r="G24" s="1"/>
    </row>
    <row r="25" spans="1:7" ht="14.25" customHeight="1" x14ac:dyDescent="0.2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25">
      <c r="A26" s="1"/>
      <c r="B26" s="87" t="s">
        <v>100</v>
      </c>
      <c r="C26" s="88"/>
      <c r="D26" s="88"/>
      <c r="E26" s="10">
        <v>0</v>
      </c>
      <c r="F26" s="11" t="s">
        <v>3</v>
      </c>
      <c r="G26" s="1"/>
    </row>
    <row r="27" spans="1:7" ht="14.25" customHeight="1" x14ac:dyDescent="0.2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25">
      <c r="A28" s="1"/>
      <c r="B28" s="87" t="s">
        <v>229</v>
      </c>
      <c r="C28" s="88"/>
      <c r="D28" s="89"/>
      <c r="E28" s="10">
        <v>0</v>
      </c>
      <c r="F28" s="11" t="s">
        <v>3</v>
      </c>
      <c r="G28" s="1"/>
    </row>
    <row r="29" spans="1:7" x14ac:dyDescent="0.2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25">
      <c r="A30" s="1"/>
      <c r="B30" s="87" t="s">
        <v>231</v>
      </c>
      <c r="C30" s="88"/>
      <c r="D30" s="89"/>
      <c r="E30" s="10">
        <v>301784.35333479056</v>
      </c>
      <c r="F30" s="11" t="s">
        <v>3</v>
      </c>
      <c r="G30" s="1"/>
    </row>
    <row r="31" spans="1:7" x14ac:dyDescent="0.25">
      <c r="A31" s="1"/>
      <c r="B31" s="40" t="s">
        <v>232</v>
      </c>
      <c r="C31" s="41"/>
      <c r="D31" s="41"/>
      <c r="E31" s="41"/>
      <c r="F31" s="20"/>
      <c r="G31" s="1"/>
    </row>
    <row r="32" spans="1:7" x14ac:dyDescent="0.25">
      <c r="A32" s="1"/>
      <c r="B32" s="84" t="s">
        <v>233</v>
      </c>
      <c r="C32" s="85"/>
      <c r="D32" s="86"/>
      <c r="E32" s="10">
        <v>0</v>
      </c>
      <c r="F32" s="11" t="s">
        <v>3</v>
      </c>
      <c r="G32" s="1"/>
    </row>
    <row r="33" spans="1:7" x14ac:dyDescent="0.25">
      <c r="A33" s="1"/>
      <c r="B33" s="40" t="s">
        <v>24</v>
      </c>
      <c r="C33" s="41"/>
      <c r="D33" s="41"/>
      <c r="E33" s="12">
        <f>SUM(E30,E26,E28,E22,E20,E32)</f>
        <v>39801977.736783445</v>
      </c>
      <c r="F33" s="13" t="s">
        <v>3</v>
      </c>
      <c r="G33" s="1"/>
    </row>
    <row r="34" spans="1:7" ht="28.15" customHeight="1" x14ac:dyDescent="0.25">
      <c r="A34" s="1"/>
      <c r="B34" s="75" t="s">
        <v>179</v>
      </c>
      <c r="C34" s="76"/>
      <c r="D34" s="76"/>
      <c r="E34" s="76"/>
      <c r="F34" s="77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8887584.3954878915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177751.68790975783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8820447.5829643756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176408.95165928753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8790122.884174142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-39643.084544382946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1993874.2370927196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214887.08073444958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10707414.947544226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214148.29895088452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10621284.501706181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1315671.31923948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238739.11641891324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11840934.948321974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236818.69896643949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11745686.467597671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234913.72935195343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11651204.165652316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233024.08331304631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8348798.8533735713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75974.069565699509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8377889.6585622309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76238.7958929163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8441948.7622484248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-627558.19077744649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718133.16089181986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74232.956471556347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8601235.8900038041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2778129.8206370776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153729.63914912607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11362588.831563955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9443.0617485120001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312730.87706609286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11194224.488644579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307841.17343772593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11019197.191652378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303027.9227704404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10846906.533962296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298289.92968396313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0.02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0.02</v>
      </c>
      <c r="H10" s="14"/>
      <c r="I10" s="1"/>
    </row>
    <row r="11" spans="1:9" x14ac:dyDescent="0.2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2020-10-29T12:20:21Z</dcterms:modified>
</cp:coreProperties>
</file>