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Skanderborg Vand AS (V166)\ØR2024\"/>
    </mc:Choice>
  </mc:AlternateContent>
  <xr:revisionPtr revIDLastSave="0" documentId="13_ncr:1_{CFC3EC7E-D173-40A3-ACC6-34CACB70C46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l="1"/>
  <c r="E31" i="42" s="1"/>
  <c r="E33" i="42" s="1"/>
  <c r="C8" i="2"/>
  <c r="C17" i="22" l="1"/>
  <c r="C17" i="15"/>
  <c r="E27" i="42"/>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<sst xmlns="http://schemas.openxmlformats.org/spreadsheetml/2006/main" count="554" uniqueCount="266">
  <si>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</si>
  <si>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</si>
  <si>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</si>
  <si>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</si>
  <si>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</si>
  <si>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</si>
  <si>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</si>
  <si>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</si>
  <si>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</si>
  <si>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</si>
  <si>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</si>
  <si>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</si>
  <si>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</si>
  <si>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</si>
  <si>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</si>
  <si>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</si>
  <si>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</si>
  <si>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</si>
  <si>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</si>
  <si>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</si>
  <si>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</si>
  <si>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</si>
  <si>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</si>
  <si>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</si>
  <si>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</si>
  <si>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</si>
  <si>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</si>
  <si>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</si>
  <si>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</si>
  <si>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</si>
  <si>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</si>
  <si>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</si>
  <si>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</si>
  <si>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</si>
  <si>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</si>
  <si>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</si>
  <si>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</si>
  <si>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</si>
  <si>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</si>
  <si>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</si>
  <si>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</si>
  <si>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</si>
  <si>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</si>
  <si>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</si>
  <si>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</si>
  <si>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</si>
  <si>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</si>
  <si>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</si>
  <si>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</si>
  <si>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</si>
  <si>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</si>
  <si>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</si>
  <si>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</si>
  <si>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</si>
  <si>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</si>
  <si>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</si>
  <si>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</si>
  <si>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</si>
  <si>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</si>
  <si>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</si>
  <si>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</si>
  <si>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</si>
  <si>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</si>
  <si>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</si>
  <si>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</si>
  <si>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</si>
  <si>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</si>
  <si>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</si>
  <si>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</si>
  <si>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</si>
  <si>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</si>
  <si>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</si>
  <si>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</si>
  <si>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</si>
  <si>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</si>
  <si>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</si>
  <si>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</si>
  <si>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</si>
  <si>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</si>
  <si>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</si>
  <si>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</si>
  <si>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</si>
  <si>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</si>
  <si>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</si>
  <si>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</si>
  <si>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</si>
  <si>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</si>
  <si>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</si>
  <si>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</si>
  <si>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</si>
  <si>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</si>
  <si>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</si>
  <si>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</si>
  <si>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</si>
  <si>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</si>
  <si>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</si>
  <si>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</si>
  <si>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</si>
  <si>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</si>
  <si>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</si>
  <si>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</si>
  <si>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</si>
  <si>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</si>
  <si>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</si>
  <si>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</si>
  <si>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</si>
  <si>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</si>
  <si>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</si>
  <si>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</si>
  <si>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</si>
  <si>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</si>
  <si>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</si>
  <si>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</si>
  <si>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</si>
  <si>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</si>
  <si>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</si>
  <si>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</si>
  <si>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</si>
  <si>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</si>
  <si>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</si>
  <si>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</si>
  <si>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</si>
  <si>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</si>
  <si>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</si>
  <si>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</si>
  <si>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</si>
  <si>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</si>
  <si>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</si>
  <si>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</si>
  <si>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</si>
  <si>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</si>
  <si>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</si>
  <si>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</si>
  <si>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</si>
  <si>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</si>
  <si>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</si>
  <si>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</si>
  <si>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</si>
  <si>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</si>
  <si>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</si>
  <si>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</si>
  <si>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</si>
  <si>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</si>
  <si>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</si>
  <si>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</si>
  <si>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</si>
  <si>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</si>
  <si>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</si>
  <si>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</si>
  <si>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</si>
  <si>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</si>
  <si>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</si>
  <si>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</si>
  <si>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</si>
  <si>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</si>
  <si>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</si>
  <si>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</si>
  <si>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</si>
  <si>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</si>
  <si>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</si>
  <si>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</si>
  <si>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</si>
  <si>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</si>
  <si>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</si>
  <si>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</si>
  <si>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</si>
  <si>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</si>
  <si>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</si>
  <si>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</si>
  <si>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</si>
  <si>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</si>
  <si>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</si>
  <si>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</si>
  <si>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</si>
  <si>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</si>
  <si>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</si>
  <si>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</si>
  <si>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</si>
  <si>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</si>
  <si>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</si>
  <si>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</si>
  <si>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</si>
  <si>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</si>
  <si>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</si>
  <si>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</si>
  <si>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</si>
  <si>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</si>
  <si>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</si>
  <si>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</si>
  <si>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</si>
  <si>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</si>
  <si>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</si>
  <si>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</si>
  <si>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</si>
  <si>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</si>
  <si>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</si>
  <si>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</si>
  <si>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</si>
  <si>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</si>
  <si>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</si>
  <si>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</si>
  <si>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</si>
  <si>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</si>
  <si>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</si>
  <si>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</si>
  <si>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</si>
  <si>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</si>
  <si>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</si>
  <si>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</si>
  <si>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</si>
  <si>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</si>
  <si>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</si>
  <si>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</si>
  <si>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</si>
  <si>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</si>
  <si>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</si>
  <si>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</si>
  <si>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</si>
  <si>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</si>
  <si>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</si>
  <si>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</si>
  <si>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</si>
  <si>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</si>
  <si>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</si>
  <si>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</si>
  <si>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</si>
  <si>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</si>
  <si>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</si>
  <si>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</si>
  <si>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</si>
  <si>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</si>
  <si>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</si>
  <si>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</si>
  <si>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</si>
  <si>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</si>
  <si>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</si>
  <si>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</si>
  <si>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</si>
  <si>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</si>
  <si>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</si>
  <si>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</si>
  <si>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</si>
  <si>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</si>
  <si>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</si>
  <si>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</si>
  <si>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</si>
  <si>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Tjenestemandspensioner</t>
  </si>
  <si>
    <t>Vandsamarbejde etableret i medfør af § 48 i vandforsyningsloven</t>
  </si>
  <si>
    <t>Mindskelse af vandtab</t>
  </si>
  <si>
    <t>Udledningstilladelser for filterskyllevand</t>
  </si>
  <si>
    <t xml:space="preserve">Byggemodninger </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</si>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</sst>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row r="3">
          <cell r="A3" t="str">
            <v>S016</v>
          </cell>
        </row>
      </sheetData>
      <sheetData sheetId="5">
        <row r="3">
          <cell r="A3" t="str">
            <v>S016</v>
          </cell>
        </row>
      </sheetData>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235</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162</v>
      </c>
      <c r="E13" s="90"/>
      <c r="F13" s="90"/>
      <c r="G13" s="91"/>
      <c r="H13" s="1"/>
      <c r="I13" s="1"/>
    </row>
    <row r="14" spans="1:9" x14ac:dyDescent="0.25">
      <c r="A14" s="1"/>
      <c r="B14" s="1"/>
      <c r="C14" s="6" t="s">
        <v>14</v>
      </c>
      <c r="D14" s="89" t="s">
        <v>197</v>
      </c>
      <c r="E14" s="90"/>
      <c r="F14" s="90"/>
      <c r="G14" s="91"/>
      <c r="H14" s="1"/>
      <c r="I14" s="1"/>
    </row>
    <row r="15" spans="1:9" x14ac:dyDescent="0.25">
      <c r="A15" s="1"/>
      <c r="B15" s="1"/>
      <c r="C15" s="6" t="s">
        <v>30</v>
      </c>
      <c r="D15" s="89" t="s">
        <v>141</v>
      </c>
      <c r="E15" s="90"/>
      <c r="F15" s="90"/>
      <c r="G15" s="91"/>
      <c r="H15" s="1"/>
      <c r="I15" s="1"/>
    </row>
    <row r="16" spans="1:9" x14ac:dyDescent="0.25">
      <c r="A16" s="1"/>
      <c r="B16" s="1"/>
      <c r="C16" s="6" t="s">
        <v>31</v>
      </c>
      <c r="D16" s="89" t="s">
        <v>194</v>
      </c>
      <c r="E16" s="90"/>
      <c r="F16" s="90"/>
      <c r="G16" s="91"/>
      <c r="H16" s="1"/>
      <c r="I16" s="1"/>
    </row>
    <row r="17" spans="1:9" x14ac:dyDescent="0.25">
      <c r="A17" s="1"/>
      <c r="B17" s="1"/>
      <c r="C17" s="6" t="s">
        <v>102</v>
      </c>
      <c r="D17" s="89" t="s">
        <v>195</v>
      </c>
      <c r="E17" s="90"/>
      <c r="F17" s="90"/>
      <c r="G17" s="91"/>
      <c r="H17" s="1"/>
      <c r="I17" s="1"/>
    </row>
    <row r="18" spans="1:9" x14ac:dyDescent="0.25">
      <c r="A18" s="1"/>
      <c r="B18" s="1"/>
      <c r="C18" s="6" t="s">
        <v>86</v>
      </c>
      <c r="D18" s="95" t="s">
        <v>79</v>
      </c>
      <c r="E18" s="96"/>
      <c r="F18" s="96"/>
      <c r="G18" s="97"/>
      <c r="H18" s="1"/>
      <c r="I18" s="1"/>
    </row>
    <row r="19" spans="1:9" x14ac:dyDescent="0.25">
      <c r="A19" s="1"/>
      <c r="B19" s="1"/>
      <c r="C19" s="6" t="s">
        <v>87</v>
      </c>
      <c r="D19" s="95" t="s">
        <v>80</v>
      </c>
      <c r="E19" s="96"/>
      <c r="F19" s="96"/>
      <c r="G19" s="97"/>
      <c r="H19" s="1"/>
      <c r="I19" s="1"/>
    </row>
    <row r="20" spans="1:9" x14ac:dyDescent="0.25">
      <c r="A20" s="1"/>
      <c r="B20" s="1"/>
      <c r="C20" s="6" t="s">
        <v>7</v>
      </c>
      <c r="D20" s="95" t="s">
        <v>9</v>
      </c>
      <c r="E20" s="96"/>
      <c r="F20" s="96"/>
      <c r="G20" s="97"/>
      <c r="H20" s="1"/>
      <c r="I20" s="1"/>
    </row>
    <row r="21" spans="1:9" x14ac:dyDescent="0.25">
      <c r="A21" s="1"/>
      <c r="B21" s="1"/>
      <c r="C21" s="6" t="s">
        <v>88</v>
      </c>
      <c r="D21" s="86" t="s">
        <v>11</v>
      </c>
      <c r="E21" s="87"/>
      <c r="F21" s="87"/>
      <c r="G21" s="88"/>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3" t="s">
        <v>84</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ZEXFAMCOivPT4hKo+7Q+Td7sHi+fV5paWgRWe98sY3w2plNINExzkuYRpwAG+R6ViiX6ihD4V7DtSPkd3R28FQ==" saltValue="OIfb9zLJBp/I2KjqvB84z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92</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2" t="s">
        <v>226</v>
      </c>
      <c r="C8" s="103"/>
      <c r="D8" s="104"/>
      <c r="E8" s="1"/>
      <c r="F8" s="1"/>
    </row>
    <row r="9" spans="1:6" ht="15" customHeight="1" x14ac:dyDescent="0.25">
      <c r="A9" s="1"/>
      <c r="B9" s="32" t="s">
        <v>28</v>
      </c>
      <c r="C9" s="11" t="s">
        <v>212</v>
      </c>
      <c r="D9" s="11"/>
      <c r="E9" s="1"/>
      <c r="F9" s="1"/>
    </row>
    <row r="10" spans="1:6" ht="15" customHeight="1" x14ac:dyDescent="0.25">
      <c r="A10" s="1"/>
      <c r="B10" s="69" t="s">
        <v>243</v>
      </c>
      <c r="C10" s="9">
        <v>6922980</v>
      </c>
      <c r="D10" s="14" t="s">
        <v>3</v>
      </c>
      <c r="E10" s="1"/>
      <c r="F10" s="1"/>
    </row>
    <row r="11" spans="1:6" x14ac:dyDescent="0.25">
      <c r="A11" s="1"/>
      <c r="B11" s="69" t="s">
        <v>244</v>
      </c>
      <c r="C11" s="9">
        <v>74694</v>
      </c>
      <c r="D11" s="14" t="s">
        <v>3</v>
      </c>
      <c r="E11" s="1"/>
      <c r="F11" s="1"/>
    </row>
    <row r="12" spans="1:6" x14ac:dyDescent="0.25">
      <c r="A12" s="1"/>
      <c r="B12" s="69" t="s">
        <v>245</v>
      </c>
      <c r="C12" s="9">
        <v>43699</v>
      </c>
      <c r="D12" s="14" t="s">
        <v>3</v>
      </c>
      <c r="E12" s="1"/>
      <c r="F12" s="1"/>
    </row>
    <row r="13" spans="1:6" x14ac:dyDescent="0.25">
      <c r="A13" s="1"/>
      <c r="B13" s="69" t="s">
        <v>246</v>
      </c>
      <c r="C13" s="9">
        <v>13523</v>
      </c>
      <c r="D13" s="14" t="s">
        <v>3</v>
      </c>
      <c r="E13" s="1"/>
      <c r="F13" s="1"/>
    </row>
    <row r="14" spans="1:6" ht="26.25" x14ac:dyDescent="0.25">
      <c r="A14" s="1"/>
      <c r="B14" s="55" t="s">
        <v>247</v>
      </c>
      <c r="C14" s="9">
        <v>1137622</v>
      </c>
      <c r="D14" s="14" t="s">
        <v>3</v>
      </c>
      <c r="E14" s="1"/>
      <c r="F14" s="1"/>
    </row>
    <row r="15" spans="1:6" x14ac:dyDescent="0.25">
      <c r="A15" s="1"/>
      <c r="B15" s="69"/>
      <c r="C15" s="9"/>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2" t="s">
        <v>213</v>
      </c>
      <c r="C19" s="12">
        <f>SUM(C10:C18)</f>
        <v>8192518</v>
      </c>
      <c r="D19" s="13" t="s">
        <v>3</v>
      </c>
      <c r="E19" s="1"/>
      <c r="F19" s="1"/>
    </row>
    <row r="20" spans="1:6" x14ac:dyDescent="0.25">
      <c r="A20" s="1"/>
      <c r="B20" s="52" t="s">
        <v>214</v>
      </c>
      <c r="C20" s="12">
        <f>C19*(1+'Fane 13. Nøgletal'!C16)^2</f>
        <v>9569914.9095155187</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4ml3OkeK8LJuYONH0DJsxp7VjVzhpRSKlmgY+OjfoYqauPCJJWnYuxB/ZEMuSbR31ES5/tIm9Ax5HRESHJoOFw==" saltValue="LXMUHe7pyGpSpMWYMxFO1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873A7-D286-46B5-ADA2-3E45A672B927}">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1" t="s">
        <v>227</v>
      </c>
      <c r="C3" s="101"/>
      <c r="D3" s="101"/>
      <c r="E3" s="101"/>
      <c r="F3" s="101"/>
      <c r="G3" s="1"/>
    </row>
    <row r="4" spans="1:7" ht="15" customHeight="1" x14ac:dyDescent="0.25">
      <c r="A4" s="1"/>
      <c r="B4" s="101"/>
      <c r="C4" s="101"/>
      <c r="D4" s="101"/>
      <c r="E4" s="101"/>
      <c r="F4" s="101"/>
      <c r="G4" s="1"/>
    </row>
    <row r="5" spans="1:7" ht="15" customHeight="1" x14ac:dyDescent="0.25">
      <c r="A5" s="1"/>
      <c r="B5" s="65"/>
      <c r="C5" s="65"/>
      <c r="D5" s="65"/>
      <c r="E5" s="65"/>
      <c r="F5" s="65"/>
      <c r="G5" s="1"/>
    </row>
    <row r="6" spans="1:7" ht="15" customHeight="1" x14ac:dyDescent="0.25">
      <c r="A6" s="1"/>
      <c r="B6" s="1"/>
      <c r="C6" s="59"/>
      <c r="D6" s="60"/>
      <c r="E6" s="65"/>
      <c r="F6" s="65"/>
      <c r="G6" s="1"/>
    </row>
    <row r="7" spans="1:7" x14ac:dyDescent="0.25">
      <c r="A7" s="1"/>
      <c r="B7" s="1"/>
      <c r="C7" s="1"/>
      <c r="D7" s="1"/>
      <c r="E7" s="61"/>
      <c r="F7" s="1"/>
      <c r="G7" s="1"/>
    </row>
    <row r="8" spans="1:7" x14ac:dyDescent="0.25">
      <c r="A8" s="1"/>
      <c r="B8" s="102" t="s">
        <v>251</v>
      </c>
      <c r="C8" s="103"/>
      <c r="D8" s="103"/>
      <c r="E8" s="103"/>
      <c r="F8" s="104"/>
      <c r="G8" s="1"/>
    </row>
    <row r="9" spans="1:7" x14ac:dyDescent="0.25">
      <c r="A9" s="1"/>
      <c r="B9" s="105" t="s">
        <v>252</v>
      </c>
      <c r="C9" s="106"/>
      <c r="D9" s="107"/>
      <c r="E9" s="28">
        <v>-1044992</v>
      </c>
      <c r="F9" s="14" t="s">
        <v>3</v>
      </c>
      <c r="G9" s="1"/>
    </row>
    <row r="10" spans="1:7" x14ac:dyDescent="0.25">
      <c r="A10" s="1"/>
      <c r="B10" s="52"/>
      <c r="C10" s="53"/>
      <c r="D10" s="53"/>
      <c r="E10" s="53"/>
      <c r="F10" s="19"/>
      <c r="G10" s="1"/>
    </row>
    <row r="11" spans="1:7" ht="53.25" customHeight="1" x14ac:dyDescent="0.25">
      <c r="A11" s="1"/>
      <c r="B11" s="120" t="s">
        <v>253</v>
      </c>
      <c r="C11" s="121"/>
      <c r="D11" s="121"/>
      <c r="E11" s="121"/>
      <c r="F11" s="122"/>
      <c r="G11" s="1"/>
    </row>
    <row r="12" spans="1:7" x14ac:dyDescent="0.25">
      <c r="A12" s="1"/>
      <c r="B12" s="1"/>
      <c r="C12" s="1"/>
      <c r="D12" s="1"/>
      <c r="E12" s="1"/>
      <c r="F12" s="1"/>
      <c r="G12" s="1"/>
    </row>
    <row r="13" spans="1:7" x14ac:dyDescent="0.25">
      <c r="A13" s="1"/>
      <c r="B13" s="102" t="s">
        <v>140</v>
      </c>
      <c r="C13" s="103"/>
      <c r="D13" s="103"/>
      <c r="E13" s="103"/>
      <c r="F13" s="104"/>
      <c r="G13" s="1"/>
    </row>
    <row r="14" spans="1:7" x14ac:dyDescent="0.25">
      <c r="A14" s="1"/>
      <c r="B14" s="105" t="s">
        <v>254</v>
      </c>
      <c r="C14" s="106"/>
      <c r="D14" s="107"/>
      <c r="E14" s="9">
        <v>-731451</v>
      </c>
      <c r="F14" s="14" t="s">
        <v>3</v>
      </c>
      <c r="G14" s="1"/>
    </row>
    <row r="15" spans="1:7" x14ac:dyDescent="0.25">
      <c r="A15" s="1"/>
      <c r="B15" s="105" t="s">
        <v>255</v>
      </c>
      <c r="C15" s="106"/>
      <c r="D15" s="107"/>
      <c r="E15" s="9">
        <v>-731451</v>
      </c>
      <c r="F15" s="14" t="s">
        <v>3</v>
      </c>
      <c r="G15" s="1"/>
    </row>
    <row r="16" spans="1:7" x14ac:dyDescent="0.25">
      <c r="A16" s="1"/>
      <c r="B16" s="52"/>
      <c r="C16" s="53"/>
      <c r="D16" s="53"/>
      <c r="E16" s="53"/>
      <c r="F16" s="19"/>
      <c r="G16" s="1"/>
    </row>
    <row r="17" spans="1:7" ht="32.25" customHeight="1" x14ac:dyDescent="0.25">
      <c r="A17" s="1"/>
      <c r="B17" s="120" t="s">
        <v>256</v>
      </c>
      <c r="C17" s="121"/>
      <c r="D17" s="121"/>
      <c r="E17" s="121"/>
      <c r="F17" s="122"/>
      <c r="G17" s="1"/>
    </row>
    <row r="18" spans="1:7" x14ac:dyDescent="0.25">
      <c r="A18" s="1"/>
      <c r="B18" s="1"/>
      <c r="C18" s="1"/>
      <c r="D18" s="1"/>
      <c r="E18" s="1"/>
      <c r="F18" s="1"/>
      <c r="G18" s="1"/>
    </row>
    <row r="19" spans="1:7" x14ac:dyDescent="0.25">
      <c r="A19" s="1"/>
      <c r="B19" s="70" t="s">
        <v>257</v>
      </c>
      <c r="C19" s="71"/>
      <c r="D19" s="71"/>
      <c r="E19" s="71"/>
      <c r="F19" s="72"/>
      <c r="G19" s="1"/>
    </row>
    <row r="20" spans="1:7" x14ac:dyDescent="0.25">
      <c r="A20" s="1"/>
      <c r="B20" s="66" t="s">
        <v>258</v>
      </c>
      <c r="C20" s="67"/>
      <c r="D20" s="68"/>
      <c r="E20" s="9">
        <v>20078069</v>
      </c>
      <c r="F20" s="14" t="s">
        <v>3</v>
      </c>
      <c r="G20" s="1"/>
    </row>
    <row r="21" spans="1:7" x14ac:dyDescent="0.25">
      <c r="A21" s="1"/>
      <c r="B21" s="66" t="s">
        <v>259</v>
      </c>
      <c r="C21" s="67"/>
      <c r="D21" s="68"/>
      <c r="E21" s="9">
        <v>21503324</v>
      </c>
      <c r="F21" s="14" t="s">
        <v>3</v>
      </c>
      <c r="G21" s="1"/>
    </row>
    <row r="22" spans="1:7" x14ac:dyDescent="0.25">
      <c r="A22" s="1"/>
      <c r="B22" s="66" t="s">
        <v>29</v>
      </c>
      <c r="C22" s="67"/>
      <c r="D22" s="68"/>
      <c r="E22" s="9">
        <v>0</v>
      </c>
      <c r="F22" s="14" t="s">
        <v>3</v>
      </c>
      <c r="G22" s="1"/>
    </row>
    <row r="23" spans="1:7" x14ac:dyDescent="0.25">
      <c r="A23" s="1"/>
      <c r="B23" s="74" t="s">
        <v>260</v>
      </c>
      <c r="C23" s="75"/>
      <c r="D23" s="76"/>
      <c r="E23" s="10">
        <f>E20-(E21-E22)</f>
        <v>-1425255</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2" t="s">
        <v>261</v>
      </c>
      <c r="C26" s="103"/>
      <c r="D26" s="103"/>
      <c r="E26" s="103"/>
      <c r="F26" s="104"/>
      <c r="G26" s="1"/>
    </row>
    <row r="27" spans="1:7" x14ac:dyDescent="0.25">
      <c r="A27" s="1"/>
      <c r="B27" s="130" t="s">
        <v>262</v>
      </c>
      <c r="C27" s="131"/>
      <c r="D27" s="132"/>
      <c r="E27" s="62">
        <f>IF(AND(E15&lt;0,E23&gt;0,ABS(SUM(E14:E15))&lt;E23),ABS(E14),IF(AND(E15&lt;0,E23&gt;0,ABS(SUM(E14:E15))&gt;E23),SUM(E14,E23),0))</f>
        <v>0</v>
      </c>
      <c r="F27" s="17" t="s">
        <v>3</v>
      </c>
      <c r="G27" s="1"/>
    </row>
    <row r="28" spans="1:7" x14ac:dyDescent="0.25">
      <c r="A28" s="1"/>
      <c r="B28" s="102"/>
      <c r="C28" s="103"/>
      <c r="D28" s="103"/>
      <c r="E28" s="103"/>
      <c r="F28" s="104"/>
      <c r="G28" s="1"/>
    </row>
    <row r="29" spans="1:7" x14ac:dyDescent="0.25">
      <c r="A29" s="1"/>
      <c r="B29" s="1"/>
      <c r="C29" s="1"/>
      <c r="D29" s="1"/>
      <c r="E29" s="1"/>
      <c r="F29" s="1"/>
      <c r="G29" s="1"/>
    </row>
    <row r="30" spans="1:7" x14ac:dyDescent="0.25">
      <c r="A30" s="1"/>
      <c r="B30" s="102" t="s">
        <v>263</v>
      </c>
      <c r="C30" s="103"/>
      <c r="D30" s="103"/>
      <c r="E30" s="103"/>
      <c r="F30" s="104"/>
      <c r="G30" s="1"/>
    </row>
    <row r="31" spans="1:7" x14ac:dyDescent="0.25">
      <c r="A31" s="1"/>
      <c r="B31" s="123" t="s">
        <v>117</v>
      </c>
      <c r="C31" s="124"/>
      <c r="D31" s="125"/>
      <c r="E31" s="63">
        <f>IF(AND(E9&gt;0,(E9+E23)&gt;0),0,IF(AND(E9&gt;0,(E9+E23)&lt;0),(E9+E23),IF(AND(E9&lt;0,E23&lt;0),E23,0)))</f>
        <v>-1425255</v>
      </c>
      <c r="F31" s="14" t="s">
        <v>3</v>
      </c>
      <c r="G31" s="1"/>
    </row>
    <row r="32" spans="1:7" x14ac:dyDescent="0.25">
      <c r="A32" s="1"/>
      <c r="B32" s="123" t="s">
        <v>85</v>
      </c>
      <c r="C32" s="124"/>
      <c r="D32" s="125"/>
      <c r="E32" s="9">
        <v>2</v>
      </c>
      <c r="F32" s="14" t="s">
        <v>18</v>
      </c>
      <c r="G32" s="1"/>
    </row>
    <row r="33" spans="1:7" x14ac:dyDescent="0.25">
      <c r="A33" s="1"/>
      <c r="B33" s="126" t="s">
        <v>116</v>
      </c>
      <c r="C33" s="126"/>
      <c r="D33" s="126"/>
      <c r="E33" s="62">
        <f>E31/E32</f>
        <v>-712627.5</v>
      </c>
      <c r="F33" s="17" t="s">
        <v>3</v>
      </c>
      <c r="G33" s="1"/>
    </row>
    <row r="34" spans="1:7" x14ac:dyDescent="0.25">
      <c r="A34" s="1"/>
      <c r="B34" s="127"/>
      <c r="C34" s="128"/>
      <c r="D34" s="128"/>
      <c r="E34" s="128"/>
      <c r="F34" s="12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LxVQ7i4a1xlqR3CqQs9i0xYTTrdeG89jiICoAOObMw7j4xJR9sga/KyniRPizhJ7CRQXxVYfDm+fR28Z6Oz9A==" saltValue="NzSnmeDUQUzrE1K4G+hFYw=="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183</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2" t="s">
        <v>184</v>
      </c>
      <c r="C8" s="103"/>
      <c r="D8" s="103"/>
      <c r="E8" s="103"/>
      <c r="F8" s="103"/>
      <c r="G8" s="103"/>
      <c r="H8" s="104"/>
      <c r="I8" s="1"/>
    </row>
    <row r="9" spans="1:9" ht="15" customHeight="1" x14ac:dyDescent="0.25">
      <c r="A9" s="1"/>
      <c r="B9" s="133" t="s">
        <v>234</v>
      </c>
      <c r="C9" s="134"/>
      <c r="D9" s="134"/>
      <c r="E9" s="134"/>
      <c r="F9" s="134"/>
      <c r="G9" s="134"/>
      <c r="H9" s="135"/>
      <c r="I9" s="1"/>
    </row>
    <row r="10" spans="1:9" x14ac:dyDescent="0.25">
      <c r="A10" s="1"/>
      <c r="B10" s="136" t="s">
        <v>185</v>
      </c>
      <c r="C10" s="137"/>
      <c r="D10" s="137"/>
      <c r="E10" s="137"/>
      <c r="F10" s="138"/>
      <c r="G10" s="45"/>
      <c r="H10" s="9" t="s">
        <v>3</v>
      </c>
      <c r="I10" s="1"/>
    </row>
    <row r="11" spans="1:9" x14ac:dyDescent="0.25">
      <c r="A11" s="1"/>
      <c r="B11" s="136" t="s">
        <v>186</v>
      </c>
      <c r="C11" s="137"/>
      <c r="D11" s="137"/>
      <c r="E11" s="137"/>
      <c r="F11" s="138"/>
      <c r="G11" s="45"/>
      <c r="H11" s="9" t="s">
        <v>3</v>
      </c>
      <c r="I11" s="1"/>
    </row>
    <row r="12" spans="1:9" x14ac:dyDescent="0.25">
      <c r="A12" s="1"/>
      <c r="B12" s="136" t="s">
        <v>187</v>
      </c>
      <c r="C12" s="137"/>
      <c r="D12" s="137"/>
      <c r="E12" s="137"/>
      <c r="F12" s="138"/>
      <c r="G12" s="9"/>
      <c r="H12" s="9" t="s">
        <v>3</v>
      </c>
      <c r="I12" s="1"/>
    </row>
    <row r="13" spans="1:9" x14ac:dyDescent="0.25">
      <c r="A13" s="1"/>
      <c r="B13" s="136" t="s">
        <v>188</v>
      </c>
      <c r="C13" s="137"/>
      <c r="D13" s="137"/>
      <c r="E13" s="137"/>
      <c r="F13" s="138"/>
      <c r="G13" s="9"/>
      <c r="H13" s="9" t="s">
        <v>3</v>
      </c>
      <c r="I13" s="1"/>
    </row>
    <row r="14" spans="1:9" x14ac:dyDescent="0.25">
      <c r="A14" s="1"/>
      <c r="B14" s="136" t="s">
        <v>189</v>
      </c>
      <c r="C14" s="137"/>
      <c r="D14" s="137"/>
      <c r="E14" s="137"/>
      <c r="F14" s="138"/>
      <c r="G14" s="9"/>
      <c r="H14" s="9" t="s">
        <v>3</v>
      </c>
      <c r="I14" s="1"/>
    </row>
    <row r="15" spans="1:9" x14ac:dyDescent="0.25">
      <c r="A15" s="1"/>
      <c r="B15" s="136" t="s">
        <v>190</v>
      </c>
      <c r="C15" s="137"/>
      <c r="D15" s="137"/>
      <c r="E15" s="137"/>
      <c r="F15" s="138"/>
      <c r="G15" s="9"/>
      <c r="H15" s="9" t="s">
        <v>3</v>
      </c>
      <c r="I15" s="1"/>
    </row>
    <row r="16" spans="1:9" x14ac:dyDescent="0.25">
      <c r="A16" s="1"/>
      <c r="B16" s="136" t="s">
        <v>191</v>
      </c>
      <c r="C16" s="137"/>
      <c r="D16" s="137"/>
      <c r="E16" s="137"/>
      <c r="F16" s="138"/>
      <c r="G16" s="9"/>
      <c r="H16" s="9" t="s">
        <v>3</v>
      </c>
      <c r="I16" s="1"/>
    </row>
    <row r="17" spans="1:9" x14ac:dyDescent="0.25">
      <c r="A17" s="1"/>
      <c r="B17" s="136" t="s">
        <v>192</v>
      </c>
      <c r="C17" s="137"/>
      <c r="D17" s="137"/>
      <c r="E17" s="137"/>
      <c r="F17" s="138"/>
      <c r="G17" s="9"/>
      <c r="H17" s="9" t="s">
        <v>3</v>
      </c>
      <c r="I17" s="1"/>
    </row>
    <row r="18" spans="1:9" x14ac:dyDescent="0.25">
      <c r="A18" s="1"/>
      <c r="B18" s="102" t="s">
        <v>193</v>
      </c>
      <c r="C18" s="103"/>
      <c r="D18" s="103"/>
      <c r="E18" s="103"/>
      <c r="F18" s="10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wNXK4Ja6KxBRKeZET+kdpHn386HEq07YLDJ/xUgYKTeCB003sCtd9sJqkGaaNRGcWAzJ1tdK/WkH2JSzoNiBg==" saltValue="e4LmMs3LyWD+Oq5FHLQv7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177</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2" t="s">
        <v>155</v>
      </c>
      <c r="C8" s="103"/>
      <c r="D8" s="103"/>
      <c r="E8" s="103"/>
      <c r="F8" s="103"/>
      <c r="G8" s="103"/>
      <c r="H8" s="103"/>
      <c r="I8" s="103"/>
      <c r="J8" s="103"/>
      <c r="K8" s="104"/>
      <c r="L8" s="1"/>
    </row>
    <row r="9" spans="1:12" ht="39.75" customHeight="1" x14ac:dyDescent="0.25">
      <c r="A9" s="1"/>
      <c r="B9" s="18" t="s">
        <v>0</v>
      </c>
      <c r="C9" s="18" t="s">
        <v>1</v>
      </c>
      <c r="D9" s="139" t="s">
        <v>170</v>
      </c>
      <c r="E9" s="140"/>
      <c r="F9" s="139" t="s">
        <v>2</v>
      </c>
      <c r="G9" s="140"/>
      <c r="H9" s="139" t="s">
        <v>171</v>
      </c>
      <c r="I9" s="140"/>
      <c r="J9" s="139" t="s">
        <v>26</v>
      </c>
      <c r="K9" s="140"/>
      <c r="L9" s="1"/>
    </row>
    <row r="10" spans="1:12" x14ac:dyDescent="0.25">
      <c r="A10" s="1"/>
      <c r="B10" s="79"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Q8uqOm/nK2F4AaIMZ419dKTcNCdfmRRII4tAcT47mfu7GurN2oVzmbFVjJOY6k2OZGtHHnXom28ZiCa/WKJ1pg==" saltValue="L9HWmMVfWIZOirX0x2JeM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178</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7" t="s">
        <v>15</v>
      </c>
      <c r="C9" s="77" t="s">
        <v>10</v>
      </c>
      <c r="D9" s="78"/>
      <c r="E9" s="77"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248</v>
      </c>
      <c r="C11" s="21">
        <v>40854</v>
      </c>
      <c r="D11" s="14" t="s">
        <v>3</v>
      </c>
      <c r="E11" s="9">
        <v>535991</v>
      </c>
      <c r="F11" s="14" t="s">
        <v>3</v>
      </c>
      <c r="G11" s="1"/>
    </row>
    <row r="12" spans="1:7" x14ac:dyDescent="0.25">
      <c r="A12" s="1"/>
      <c r="B12" s="27" t="s">
        <v>250</v>
      </c>
      <c r="C12" s="21">
        <v>8154</v>
      </c>
      <c r="D12" s="14" t="s">
        <v>3</v>
      </c>
      <c r="E12" s="9">
        <v>15261</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49008</v>
      </c>
      <c r="D17" s="13" t="s">
        <v>3</v>
      </c>
      <c r="E17" s="12">
        <f>SUM(E10:E16)</f>
        <v>551252</v>
      </c>
      <c r="F17" s="13" t="s">
        <v>3</v>
      </c>
      <c r="G17" s="1"/>
    </row>
    <row r="18" spans="1:7" x14ac:dyDescent="0.25">
      <c r="A18" s="1"/>
      <c r="B18" s="52" t="s">
        <v>209</v>
      </c>
      <c r="C18" s="12">
        <f>C17*(1+'Fane 13. Nøgletal'!C16)</f>
        <v>52967.846400000002</v>
      </c>
      <c r="D18" s="13" t="s">
        <v>3</v>
      </c>
      <c r="E18" s="12">
        <f>E17*(1+'Fane 13. Nøgletal'!C16)</f>
        <v>595793.16159999999</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y72iU7PB4RX2NhMXu565iAq/ULO7AWxV57m+g3ubICidvQHzEp8btwpskMtkQ5XtKYm8AfjEbmgRuvOj3XLAeQ==" saltValue="bkTM73Ok6Mow+N13EljTg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179</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2" t="s">
        <v>217</v>
      </c>
      <c r="C9" s="103"/>
      <c r="D9" s="103"/>
      <c r="E9" s="103"/>
      <c r="F9" s="104"/>
      <c r="G9" s="1"/>
    </row>
    <row r="10" spans="1:7" ht="26.25" x14ac:dyDescent="0.25">
      <c r="A10" s="1"/>
      <c r="B10" s="77" t="s">
        <v>15</v>
      </c>
      <c r="C10" s="77" t="s">
        <v>10</v>
      </c>
      <c r="D10" s="78"/>
      <c r="E10" s="77" t="s">
        <v>27</v>
      </c>
      <c r="F10" s="30"/>
      <c r="G10" s="1"/>
    </row>
    <row r="11" spans="1:7" x14ac:dyDescent="0.25">
      <c r="A11" s="1"/>
      <c r="B11" s="23" t="s">
        <v>249</v>
      </c>
      <c r="C11" s="21">
        <v>17782</v>
      </c>
      <c r="D11" s="14" t="s">
        <v>3</v>
      </c>
      <c r="E11" s="9">
        <v>0</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17782</v>
      </c>
      <c r="D14" s="13" t="s">
        <v>3</v>
      </c>
      <c r="E14" s="12">
        <f>SUM(E11:E13)</f>
        <v>0</v>
      </c>
      <c r="F14" s="13" t="s">
        <v>3</v>
      </c>
      <c r="G14" s="1"/>
    </row>
    <row r="15" spans="1:7" x14ac:dyDescent="0.25">
      <c r="A15" s="1"/>
      <c r="B15" s="52" t="s">
        <v>219</v>
      </c>
      <c r="C15" s="12">
        <f>C14*(1+'Fane 13. Nøgletal'!$C$16)^2</f>
        <v>20771.66347648</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vTTx3Nt1Y8UkRwupWS2rf5z3fRzshsaUUpOf4DXH6Q31XM4tVFPFpxWQKN4MOZcLsQPh1m6RHAGGk4VH3AovA==" saltValue="cUEmfewWpPAlCMw1ZHJbG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180</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2" t="s">
        <v>104</v>
      </c>
      <c r="C8" s="103"/>
      <c r="D8" s="103"/>
      <c r="E8" s="103"/>
      <c r="F8" s="104"/>
      <c r="G8" s="1"/>
    </row>
    <row r="9" spans="1:7" ht="15" customHeight="1" x14ac:dyDescent="0.25">
      <c r="A9" s="1"/>
      <c r="B9" s="54" t="s">
        <v>105</v>
      </c>
      <c r="C9" s="133" t="s">
        <v>10</v>
      </c>
      <c r="D9" s="135"/>
      <c r="E9" s="133" t="s">
        <v>27</v>
      </c>
      <c r="F9" s="135"/>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sJkfeBKVvYcBanhuSwKsCG26UpUCcta1oEy3cYQlEj87BBAKDD50g4/wx6+ioO0BbFtrfw0V1/nDsFokRSTSXg==" saltValue="HQwTI1bewPmB98F3FQaEl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181</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2" t="s">
        <v>237</v>
      </c>
      <c r="C10" s="103"/>
      <c r="D10" s="103"/>
      <c r="E10" s="103"/>
      <c r="F10" s="104"/>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0apYo4puTRE0nzQuMfpQxmv280uSDogclyZqsMdhfpo+ouURuKiEdgfmxvHeWiHtHyW/RrBGF3RFaNzqNcp5Q==" saltValue="ofT6Rq+RPOFjaIJI7VPqx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1" t="s">
        <v>182</v>
      </c>
      <c r="C3" s="101"/>
      <c r="D3" s="1"/>
    </row>
    <row r="4" spans="1:4" ht="25.5" customHeight="1" x14ac:dyDescent="0.25">
      <c r="A4" s="1"/>
      <c r="B4" s="101"/>
      <c r="C4" s="101"/>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1" t="s">
        <v>207</v>
      </c>
      <c r="C16" s="42">
        <v>8.0799999999999997E-2</v>
      </c>
      <c r="D16" s="1"/>
    </row>
    <row r="17" spans="1:4" x14ac:dyDescent="0.25">
      <c r="A17" s="1"/>
      <c r="B17" s="102"/>
      <c r="C17" s="104"/>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1"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9"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YDBkbnrPCnkTVFycSr1ecwQkEJ1Xbr9ZZtt286x+KFMcOzffChOvv1PXbG/ptmCuuXFokUnQ15ttzeEhocyQA==" saltValue="KtI3TAuWW43mU1IMNwi3s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198</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15002857.075795462</v>
      </c>
      <c r="D8" s="8" t="s">
        <v>3</v>
      </c>
      <c r="E8" s="1"/>
    </row>
    <row r="9" spans="1:5" ht="17.100000000000001" customHeight="1" x14ac:dyDescent="0.25">
      <c r="A9" s="1"/>
      <c r="B9" s="24" t="s">
        <v>33</v>
      </c>
      <c r="C9" s="7">
        <f>'Fane 10.1. Varige tillæg'!C18</f>
        <v>52967.846400000002</v>
      </c>
      <c r="D9" s="8" t="s">
        <v>3</v>
      </c>
      <c r="E9" s="1"/>
    </row>
    <row r="10" spans="1:5" ht="17.100000000000001" customHeight="1" x14ac:dyDescent="0.25">
      <c r="A10" s="1"/>
      <c r="B10" s="24" t="s">
        <v>34</v>
      </c>
      <c r="C10" s="9">
        <f>'Fane 10.1. Varige tillæg'!E18</f>
        <v>595793.16159999999</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586521.60134471848</v>
      </c>
      <c r="D15" s="8" t="s">
        <v>3</v>
      </c>
      <c r="E15" s="1"/>
    </row>
    <row r="16" spans="1:5" ht="17.100000000000001" customHeight="1" x14ac:dyDescent="0.25">
      <c r="A16" s="1"/>
      <c r="B16" s="24" t="s">
        <v>9</v>
      </c>
      <c r="C16" s="9">
        <f>-SUM(C8,C9:C15)*'Fane 5. Individuelt eff. krav'!G9</f>
        <v>-189775.80235558277</v>
      </c>
      <c r="D16" s="8" t="s">
        <v>3</v>
      </c>
      <c r="E16" s="1"/>
    </row>
    <row r="17" spans="1:5" ht="17.100000000000001" customHeight="1" x14ac:dyDescent="0.25">
      <c r="A17" s="1"/>
      <c r="B17" s="24" t="s">
        <v>22</v>
      </c>
      <c r="C17" s="9">
        <f>-'Fane 4.1. Gen. krav - drift'!G49</f>
        <v>-158579.25949545088</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15889784.623289147</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9569914.9095155187</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20771.66347648</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-658.19254977624712</v>
      </c>
      <c r="D25" s="8" t="s">
        <v>3</v>
      </c>
      <c r="E25" s="1"/>
    </row>
    <row r="26" spans="1:5" ht="15" customHeight="1" x14ac:dyDescent="0.25">
      <c r="A26" s="1"/>
      <c r="B26" s="24" t="s">
        <v>165</v>
      </c>
      <c r="C26" s="9">
        <f>-C24*('Fane 13. Nøgletal'!C28+'Fane 5. Individuelt eff. krav'!G9)</f>
        <v>0</v>
      </c>
      <c r="D26" s="8" t="s">
        <v>3</v>
      </c>
      <c r="E26" s="1"/>
    </row>
    <row r="27" spans="1:5" x14ac:dyDescent="0.25">
      <c r="A27" s="1"/>
      <c r="B27" s="74" t="s">
        <v>76</v>
      </c>
      <c r="C27" s="49">
        <f>SUM(C23:C26)</f>
        <v>20113.470926703754</v>
      </c>
      <c r="D27" s="11" t="s">
        <v>3</v>
      </c>
      <c r="E27" s="1"/>
    </row>
    <row r="28" spans="1:5" ht="15" customHeight="1" x14ac:dyDescent="0.25">
      <c r="A28" s="1"/>
      <c r="B28" s="26" t="s">
        <v>117</v>
      </c>
      <c r="C28" s="53"/>
      <c r="D28" s="19"/>
      <c r="E28" s="1"/>
    </row>
    <row r="29" spans="1:5" x14ac:dyDescent="0.25">
      <c r="A29" s="1"/>
      <c r="B29" s="73" t="s">
        <v>118</v>
      </c>
      <c r="C29" s="10">
        <f>'Fane 7. Kontrol af ØR2022'!E15</f>
        <v>-731451</v>
      </c>
      <c r="D29" s="11" t="s">
        <v>3</v>
      </c>
      <c r="E29" s="1"/>
    </row>
    <row r="30" spans="1:5" x14ac:dyDescent="0.25">
      <c r="A30" s="1"/>
      <c r="B30" s="26" t="s">
        <v>138</v>
      </c>
      <c r="C30" s="53"/>
      <c r="D30" s="19"/>
      <c r="E30" s="1"/>
    </row>
    <row r="31" spans="1:5" x14ac:dyDescent="0.25">
      <c r="A31" s="1"/>
      <c r="B31" s="73" t="s">
        <v>139</v>
      </c>
      <c r="C31" s="10">
        <f>'Fane 8. Skattesagen'!G13</f>
        <v>0</v>
      </c>
      <c r="D31" s="11" t="s">
        <v>3</v>
      </c>
      <c r="E31" s="1"/>
    </row>
    <row r="32" spans="1:5" x14ac:dyDescent="0.25">
      <c r="A32" s="1"/>
      <c r="B32" s="26" t="s">
        <v>264</v>
      </c>
      <c r="C32" s="53"/>
      <c r="D32" s="19"/>
      <c r="E32" s="1"/>
    </row>
    <row r="33" spans="1:5" x14ac:dyDescent="0.25">
      <c r="A33" s="1"/>
      <c r="B33" s="73" t="s">
        <v>265</v>
      </c>
      <c r="C33" s="10">
        <v>562457.23834110354</v>
      </c>
      <c r="D33" s="11" t="s">
        <v>3</v>
      </c>
      <c r="E33" s="1"/>
    </row>
    <row r="34" spans="1:5" x14ac:dyDescent="0.25">
      <c r="A34" s="1"/>
      <c r="B34" s="52" t="s">
        <v>126</v>
      </c>
      <c r="C34" s="33">
        <f>SUM(C19,C21,C27,C29,C31,C33)</f>
        <v>25310819.242072474</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4+4eZZQcm3XqIA0yjzaZF5bJf/hKMLCACUrqrLMBgqWbk4naa56fIa4oeKcSghVzJ1UE4/1U8vUuO5wZY8CrMA==" saltValue="VUDmjS8dP7IHVv6SRpULF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199</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15889784.623289147</v>
      </c>
      <c r="D8" s="8" t="s">
        <v>3</v>
      </c>
      <c r="E8" s="1"/>
    </row>
    <row r="9" spans="1:5" ht="15" customHeight="1" x14ac:dyDescent="0.25">
      <c r="A9" s="1"/>
      <c r="B9" s="29" t="s">
        <v>17</v>
      </c>
      <c r="C9" s="9">
        <f>SUM(C8:C8)*'Fane 13. Nøgletal'!C16</f>
        <v>1283894.5975617631</v>
      </c>
      <c r="D9" s="8" t="s">
        <v>3</v>
      </c>
      <c r="E9" s="1"/>
    </row>
    <row r="10" spans="1:5" ht="15" customHeight="1" x14ac:dyDescent="0.25">
      <c r="A10" s="1"/>
      <c r="B10" s="29" t="s">
        <v>9</v>
      </c>
      <c r="C10" s="9">
        <f>-SUM(C8:C9)*'Fane 5. Individuelt eff. krav'!G9</f>
        <v>-200709.49115660635</v>
      </c>
      <c r="D10" s="8" t="s">
        <v>3</v>
      </c>
      <c r="E10" s="1"/>
    </row>
    <row r="11" spans="1:5" ht="15" customHeight="1" x14ac:dyDescent="0.25">
      <c r="A11" s="1"/>
      <c r="B11" s="29" t="s">
        <v>22</v>
      </c>
      <c r="C11" s="9">
        <f>-'Fane 4.1. Gen. krav - drift'!G54</f>
        <v>-167964.61438942963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16805005.115304872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10343164.034204373</v>
      </c>
      <c r="D15" s="11" t="s">
        <v>3</v>
      </c>
      <c r="E15" s="1"/>
    </row>
    <row r="16" spans="1:5" x14ac:dyDescent="0.25">
      <c r="A16" s="1"/>
      <c r="B16" s="26" t="s">
        <v>117</v>
      </c>
      <c r="C16" s="53"/>
      <c r="D16" s="19"/>
      <c r="E16" s="1"/>
    </row>
    <row r="17" spans="1:5" ht="15" customHeight="1" x14ac:dyDescent="0.25">
      <c r="A17" s="1"/>
      <c r="B17" s="73" t="s">
        <v>118</v>
      </c>
      <c r="C17" s="10">
        <f>'Fane 7. Kontrol af ØR2022'!E33</f>
        <v>-712627.5</v>
      </c>
      <c r="D17" s="11" t="s">
        <v>3</v>
      </c>
      <c r="E17" s="1"/>
    </row>
    <row r="18" spans="1:5" x14ac:dyDescent="0.25">
      <c r="A18" s="1"/>
      <c r="B18" s="26" t="s">
        <v>138</v>
      </c>
      <c r="C18" s="53"/>
      <c r="D18" s="19"/>
      <c r="E18" s="1"/>
    </row>
    <row r="19" spans="1:5" x14ac:dyDescent="0.25">
      <c r="A19" s="1"/>
      <c r="B19" s="73" t="s">
        <v>139</v>
      </c>
      <c r="C19" s="10">
        <f>'Fane 8. Skattesagen'!G13</f>
        <v>0</v>
      </c>
      <c r="D19" s="11" t="s">
        <v>3</v>
      </c>
      <c r="E19" s="1"/>
    </row>
    <row r="20" spans="1:5" x14ac:dyDescent="0.25">
      <c r="A20" s="1"/>
      <c r="B20" s="52" t="s">
        <v>128</v>
      </c>
      <c r="C20" s="12">
        <f>SUM(C13,C15,C17,C19)</f>
        <v>26435541.649509244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f8Blz82YGTJQioNwtySFS8GA7ZYt//tQRDrwKoMRylc/aMxzmzH0rn+EbGxPcz8xtYW47zMONNPhX6TfdUWDQ==" saltValue="DXknwfRVRi0W2zMCv/AZm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200</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16805005.115304872</v>
      </c>
      <c r="D8" s="8" t="s">
        <v>3</v>
      </c>
      <c r="E8" s="1"/>
    </row>
    <row r="9" spans="1:5" ht="15" customHeight="1" x14ac:dyDescent="0.25">
      <c r="A9" s="1"/>
      <c r="B9" s="29" t="s">
        <v>17</v>
      </c>
      <c r="C9" s="9">
        <f>SUM(C8:C8)*'Fane 13. Nøgletal'!C16</f>
        <v>1357844.4133166336</v>
      </c>
      <c r="D9" s="8" t="s">
        <v>3</v>
      </c>
      <c r="E9" s="1"/>
    </row>
    <row r="10" spans="1:5" ht="15" customHeight="1" x14ac:dyDescent="0.25">
      <c r="A10" s="1"/>
      <c r="B10" s="29" t="s">
        <v>9</v>
      </c>
      <c r="C10" s="9">
        <f>-SUM(C8:C9)*'Fane 5. Individuelt eff. krav'!G9</f>
        <v>-212269.96498325226</v>
      </c>
      <c r="D10" s="8" t="s">
        <v>3</v>
      </c>
      <c r="E10" s="1"/>
    </row>
    <row r="11" spans="1:5" ht="15" customHeight="1" x14ac:dyDescent="0.25">
      <c r="A11" s="1"/>
      <c r="B11" s="29" t="s">
        <v>22</v>
      </c>
      <c r="C11" s="9">
        <f>-'Fane 4.1. Gen. krav - drift'!G59</f>
        <v>-177905.43212745362</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17772674.131510802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11178891.688168086</v>
      </c>
      <c r="D15" s="11" t="s">
        <v>3</v>
      </c>
      <c r="E15" s="1"/>
    </row>
    <row r="16" spans="1:5" x14ac:dyDescent="0.25">
      <c r="A16" s="1"/>
      <c r="B16" s="52" t="s">
        <v>117</v>
      </c>
      <c r="C16" s="53"/>
      <c r="D16" s="19"/>
      <c r="E16" s="1"/>
    </row>
    <row r="17" spans="1:5" x14ac:dyDescent="0.25">
      <c r="A17" s="1"/>
      <c r="B17" s="54" t="s">
        <v>118</v>
      </c>
      <c r="C17" s="10">
        <f>'Fane 7. Kontrol af ØR2022'!E33</f>
        <v>-712627.5</v>
      </c>
      <c r="D17" s="11" t="s">
        <v>3</v>
      </c>
      <c r="E17" s="1"/>
    </row>
    <row r="18" spans="1:5" ht="15" customHeight="1" x14ac:dyDescent="0.25">
      <c r="A18" s="1"/>
      <c r="B18" s="26" t="s">
        <v>138</v>
      </c>
      <c r="C18" s="53"/>
      <c r="D18" s="19"/>
      <c r="E18" s="1"/>
    </row>
    <row r="19" spans="1:5" ht="15" customHeight="1" x14ac:dyDescent="0.25">
      <c r="A19" s="1"/>
      <c r="B19" s="73" t="s">
        <v>139</v>
      </c>
      <c r="C19" s="10">
        <f>'Fane 8. Skattesagen'!G14</f>
        <v>0</v>
      </c>
      <c r="D19" s="11" t="s">
        <v>3</v>
      </c>
      <c r="E19" s="1"/>
    </row>
    <row r="20" spans="1:5" x14ac:dyDescent="0.25">
      <c r="A20" s="1"/>
      <c r="B20" s="52" t="s">
        <v>143</v>
      </c>
      <c r="C20" s="12">
        <f>SUM(C13,C15,C17,C19)</f>
        <v>28238938.319678888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Q23oB7aB2wkB6oiuozmKx+NUGfGcyCCeKx+xofGgGiKk4N3FTEwV2vSZiCTKJHAlDXvYx69iYmaN1eqsgU7SQ==" saltValue="eJypfU6x8aYZXYlLjJsIl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204</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17772674.131510802</v>
      </c>
      <c r="D8" s="8" t="s">
        <v>3</v>
      </c>
      <c r="E8" s="1"/>
    </row>
    <row r="9" spans="1:5" ht="15" customHeight="1" x14ac:dyDescent="0.25">
      <c r="A9" s="1"/>
      <c r="B9" s="29" t="s">
        <v>17</v>
      </c>
      <c r="C9" s="9">
        <f>SUM(C8:C8)*'Fane 13. Nøgletal'!C16</f>
        <v>1436032.0698260728</v>
      </c>
      <c r="D9" s="8" t="s">
        <v>3</v>
      </c>
      <c r="E9" s="1"/>
    </row>
    <row r="10" spans="1:5" ht="15" customHeight="1" x14ac:dyDescent="0.25">
      <c r="A10" s="1"/>
      <c r="B10" s="29" t="s">
        <v>9</v>
      </c>
      <c r="C10" s="9">
        <f>-SUM(C8:C9)*'Fane 5. Individuelt eff. krav'!G9</f>
        <v>-224492.93467448669</v>
      </c>
      <c r="D10" s="8" t="s">
        <v>3</v>
      </c>
      <c r="E10" s="1"/>
    </row>
    <row r="11" spans="1:5" ht="15" customHeight="1" x14ac:dyDescent="0.25">
      <c r="A11" s="1"/>
      <c r="B11" s="29" t="s">
        <v>22</v>
      </c>
      <c r="C11" s="9">
        <f>-'Fane 4.1. Gen. krav - drift'!G64</f>
        <v>-188434.58722248484</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18795778.679439906</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12082146.136572067</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3" t="s">
        <v>139</v>
      </c>
      <c r="C19" s="10">
        <f>'Fane 8. Skattesagen'!G15</f>
        <v>0</v>
      </c>
      <c r="D19" s="11" t="s">
        <v>3</v>
      </c>
      <c r="E19" s="1"/>
    </row>
    <row r="20" spans="1:5" x14ac:dyDescent="0.25">
      <c r="A20" s="1"/>
      <c r="B20" s="52" t="s">
        <v>205</v>
      </c>
      <c r="C20" s="12">
        <f>SUM(C13,C15,C17,C19)</f>
        <v>30877924.816011973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0wSBHgYMpXrtibc6r2UjaBuGXgskfcuE8hgYzmvPcQiaHWZ9IoEpFxPcFtmxgfADjctfiSw1DauJ2vUl9kHmw==" saltValue="6vpEYXGyGe4Vqj1xOuHd4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1" t="s">
        <v>201</v>
      </c>
      <c r="C3" s="101"/>
      <c r="D3" s="101"/>
      <c r="E3" s="1"/>
    </row>
    <row r="4" spans="1:5"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13919614.106293796</v>
      </c>
      <c r="D8" s="8" t="s">
        <v>3</v>
      </c>
      <c r="E8" s="1"/>
    </row>
    <row r="9" spans="1:5" x14ac:dyDescent="0.25">
      <c r="A9" s="1"/>
      <c r="B9" s="24" t="s">
        <v>33</v>
      </c>
      <c r="C9" s="7">
        <v>153887.05320000002</v>
      </c>
      <c r="D9" s="8" t="s">
        <v>3</v>
      </c>
      <c r="E9" s="1"/>
    </row>
    <row r="10" spans="1:5" x14ac:dyDescent="0.25">
      <c r="A10" s="1"/>
      <c r="B10" s="24" t="s">
        <v>34</v>
      </c>
      <c r="C10" s="9">
        <v>736491.79440000001</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527235.74915861909</v>
      </c>
      <c r="D15" s="8" t="s">
        <v>3</v>
      </c>
      <c r="E15" s="1"/>
    </row>
    <row r="16" spans="1:5" x14ac:dyDescent="0.25">
      <c r="A16" s="1"/>
      <c r="B16" s="24" t="s">
        <v>9</v>
      </c>
      <c r="C16" s="9">
        <v>-179246.81887645184</v>
      </c>
      <c r="D16" s="8" t="s">
        <v>3</v>
      </c>
      <c r="E16" s="1"/>
    </row>
    <row r="17" spans="1:5" x14ac:dyDescent="0.25">
      <c r="A17" s="1"/>
      <c r="B17" s="24" t="s">
        <v>22</v>
      </c>
      <c r="C17" s="9">
        <v>-155124.8083804996</v>
      </c>
      <c r="D17" s="8" t="s">
        <v>3</v>
      </c>
      <c r="E17" s="1"/>
    </row>
    <row r="18" spans="1:5" x14ac:dyDescent="0.25">
      <c r="A18" s="1"/>
      <c r="B18" s="24" t="s">
        <v>23</v>
      </c>
      <c r="C18" s="9">
        <v>0</v>
      </c>
      <c r="D18" s="8" t="s">
        <v>3</v>
      </c>
      <c r="E18" s="1"/>
    </row>
    <row r="19" spans="1:5" x14ac:dyDescent="0.25">
      <c r="A19" s="1"/>
      <c r="B19" s="74" t="s">
        <v>19</v>
      </c>
      <c r="C19" s="10">
        <v>15002857.075795462</v>
      </c>
      <c r="D19" s="11" t="s">
        <v>3</v>
      </c>
      <c r="E19" s="1"/>
    </row>
    <row r="20" spans="1:5" x14ac:dyDescent="0.25">
      <c r="A20" s="1"/>
      <c r="B20" s="52" t="s">
        <v>11</v>
      </c>
      <c r="C20" s="53"/>
      <c r="D20" s="19"/>
      <c r="E20" s="1"/>
    </row>
    <row r="21" spans="1:5" x14ac:dyDescent="0.25">
      <c r="A21" s="1"/>
      <c r="B21" s="54" t="s">
        <v>11</v>
      </c>
      <c r="C21" s="10">
        <v>9232991.0823506415</v>
      </c>
      <c r="D21" s="11" t="s">
        <v>3</v>
      </c>
      <c r="E21" s="1"/>
    </row>
    <row r="22" spans="1:5" x14ac:dyDescent="0.25">
      <c r="A22" s="1"/>
      <c r="B22" s="52" t="s">
        <v>75</v>
      </c>
      <c r="C22" s="53"/>
      <c r="D22" s="19"/>
      <c r="E22" s="1"/>
    </row>
    <row r="23" spans="1:5" x14ac:dyDescent="0.25">
      <c r="A23" s="1"/>
      <c r="B23" s="24" t="s">
        <v>71</v>
      </c>
      <c r="C23" s="9">
        <v>107047.25707104</v>
      </c>
      <c r="D23" s="8" t="s">
        <v>3</v>
      </c>
      <c r="E23" s="1"/>
    </row>
    <row r="24" spans="1:5" x14ac:dyDescent="0.25">
      <c r="A24" s="1"/>
      <c r="B24" s="24" t="s">
        <v>72</v>
      </c>
      <c r="C24" s="9">
        <v>0</v>
      </c>
      <c r="D24" s="8" t="s">
        <v>3</v>
      </c>
      <c r="E24" s="1"/>
    </row>
    <row r="25" spans="1:5" x14ac:dyDescent="0.25">
      <c r="A25" s="1"/>
      <c r="B25" s="24" t="s">
        <v>164</v>
      </c>
      <c r="C25" s="9">
        <v>-3392.0108111669206</v>
      </c>
      <c r="D25" s="8" t="s">
        <v>3</v>
      </c>
      <c r="E25" s="1"/>
    </row>
    <row r="26" spans="1:5" x14ac:dyDescent="0.25">
      <c r="A26" s="1"/>
      <c r="B26" s="24" t="s">
        <v>165</v>
      </c>
      <c r="C26" s="9">
        <v>0</v>
      </c>
      <c r="D26" s="8" t="s">
        <v>3</v>
      </c>
      <c r="E26" s="1"/>
    </row>
    <row r="27" spans="1:5" x14ac:dyDescent="0.25">
      <c r="A27" s="1"/>
      <c r="B27" s="74" t="s">
        <v>76</v>
      </c>
      <c r="C27" s="57">
        <v>103655.24625987308</v>
      </c>
      <c r="D27" s="11" t="s">
        <v>3</v>
      </c>
      <c r="E27" s="1"/>
    </row>
    <row r="28" spans="1:5" x14ac:dyDescent="0.25">
      <c r="A28" s="1"/>
      <c r="B28" s="26" t="s">
        <v>117</v>
      </c>
      <c r="C28" s="53"/>
      <c r="D28" s="19"/>
      <c r="E28" s="1"/>
    </row>
    <row r="29" spans="1:5" x14ac:dyDescent="0.25">
      <c r="A29" s="1"/>
      <c r="B29" s="73" t="s">
        <v>118</v>
      </c>
      <c r="C29" s="10">
        <v>-731450.68606511783</v>
      </c>
      <c r="D29" s="11" t="s">
        <v>3</v>
      </c>
      <c r="E29" s="1"/>
    </row>
    <row r="30" spans="1:5" x14ac:dyDescent="0.25">
      <c r="A30" s="1"/>
      <c r="B30" s="26" t="s">
        <v>138</v>
      </c>
      <c r="C30" s="53"/>
      <c r="D30" s="19"/>
      <c r="E30" s="1"/>
    </row>
    <row r="31" spans="1:5" x14ac:dyDescent="0.25">
      <c r="A31" s="1"/>
      <c r="B31" s="73" t="s">
        <v>139</v>
      </c>
      <c r="C31" s="10">
        <v>0</v>
      </c>
      <c r="D31" s="11" t="s">
        <v>3</v>
      </c>
      <c r="E31" s="1"/>
    </row>
    <row r="32" spans="1:5" x14ac:dyDescent="0.25">
      <c r="A32" s="1"/>
      <c r="B32" s="52" t="s">
        <v>239</v>
      </c>
      <c r="C32" s="33">
        <v>23608052.718340859</v>
      </c>
      <c r="D32" s="19" t="s">
        <v>3</v>
      </c>
      <c r="E32" s="1"/>
    </row>
    <row r="33" spans="1:5" ht="30" customHeight="1" x14ac:dyDescent="0.25">
      <c r="A33" s="1"/>
      <c r="B33" s="100" t="s">
        <v>240</v>
      </c>
      <c r="C33" s="100"/>
      <c r="D33" s="100"/>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CL6wKWiNyAtkTBf8zBCLn/PmX7wyQo2n71t26h+udZsd4OAm00/vmGF+yLYAkXZ/1BR8izubxPEQC6kIPrRQKw==" saltValue="3KR9hmM5DbFyWFfCQQcZU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1" t="s">
        <v>90</v>
      </c>
      <c r="C1" s="101"/>
      <c r="D1" s="101"/>
      <c r="E1" s="101"/>
      <c r="F1" s="101"/>
      <c r="G1" s="101"/>
      <c r="H1" s="101"/>
      <c r="I1" s="1"/>
    </row>
    <row r="2" spans="1:9" ht="15" customHeight="1" x14ac:dyDescent="0.25">
      <c r="A2" s="1"/>
      <c r="B2" s="101"/>
      <c r="C2" s="101"/>
      <c r="D2" s="101"/>
      <c r="E2" s="101"/>
      <c r="F2" s="101"/>
      <c r="G2" s="101"/>
      <c r="H2" s="101"/>
      <c r="I2" s="1"/>
    </row>
    <row r="3" spans="1:9" ht="15" customHeight="1" x14ac:dyDescent="0.25">
      <c r="A3" s="1"/>
      <c r="B3" s="101"/>
      <c r="C3" s="101"/>
      <c r="D3" s="101"/>
      <c r="E3" s="101"/>
      <c r="F3" s="101"/>
      <c r="G3" s="101"/>
      <c r="H3" s="101"/>
      <c r="I3" s="1"/>
    </row>
    <row r="4" spans="1:9" x14ac:dyDescent="0.25">
      <c r="A4" s="1"/>
      <c r="B4" s="102" t="s">
        <v>44</v>
      </c>
      <c r="C4" s="103"/>
      <c r="D4" s="103"/>
      <c r="E4" s="103"/>
      <c r="F4" s="103"/>
      <c r="G4" s="103"/>
      <c r="H4" s="104"/>
      <c r="I4" s="1"/>
    </row>
    <row r="5" spans="1:9" x14ac:dyDescent="0.25">
      <c r="A5" s="1"/>
      <c r="B5" s="105" t="s">
        <v>36</v>
      </c>
      <c r="C5" s="106"/>
      <c r="D5" s="106"/>
      <c r="E5" s="106"/>
      <c r="F5" s="107"/>
      <c r="G5" s="47">
        <v>6015408.8933423851</v>
      </c>
      <c r="H5" s="14" t="s">
        <v>3</v>
      </c>
      <c r="I5" s="1"/>
    </row>
    <row r="6" spans="1:9" x14ac:dyDescent="0.25">
      <c r="A6" s="1"/>
      <c r="B6" s="105" t="s">
        <v>37</v>
      </c>
      <c r="C6" s="106"/>
      <c r="D6" s="106"/>
      <c r="E6" s="106"/>
      <c r="F6" s="107"/>
      <c r="G6" s="22">
        <f>G5*'Fane 13. Nøgletal'!C33</f>
        <v>120308.17786684771</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2" t="s">
        <v>45</v>
      </c>
      <c r="C9" s="103"/>
      <c r="D9" s="103"/>
      <c r="E9" s="103"/>
      <c r="F9" s="103"/>
      <c r="G9" s="103"/>
      <c r="H9" s="104"/>
      <c r="I9" s="1"/>
    </row>
    <row r="10" spans="1:9" x14ac:dyDescent="0.25">
      <c r="A10" s="1"/>
      <c r="B10" s="105" t="s">
        <v>38</v>
      </c>
      <c r="C10" s="106"/>
      <c r="D10" s="106"/>
      <c r="E10" s="106"/>
      <c r="F10" s="107"/>
      <c r="G10" s="22">
        <f>(G5-G6)*(1+'Fane 13. Nøgletal'!C9)</f>
        <v>5969968.4945620764</v>
      </c>
      <c r="H10" s="14" t="s">
        <v>3</v>
      </c>
      <c r="I10" s="1"/>
    </row>
    <row r="11" spans="1:9" x14ac:dyDescent="0.25">
      <c r="A11" s="1"/>
      <c r="B11" s="108" t="s">
        <v>228</v>
      </c>
      <c r="C11" s="109"/>
      <c r="D11" s="109"/>
      <c r="E11" s="109"/>
      <c r="F11" s="110"/>
      <c r="G11" s="47">
        <v>0</v>
      </c>
      <c r="H11" s="14" t="s">
        <v>3</v>
      </c>
      <c r="I11" s="1"/>
    </row>
    <row r="12" spans="1:9" x14ac:dyDescent="0.25">
      <c r="A12" s="1"/>
      <c r="B12" s="105" t="s">
        <v>39</v>
      </c>
      <c r="C12" s="106"/>
      <c r="D12" s="106"/>
      <c r="E12" s="106"/>
      <c r="F12" s="107"/>
      <c r="G12" s="22">
        <f>(G10+G11)*'Fane 13. Nøgletal'!C33</f>
        <v>119399.36989124153</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2" t="s">
        <v>46</v>
      </c>
      <c r="C15" s="103"/>
      <c r="D15" s="103"/>
      <c r="E15" s="103"/>
      <c r="F15" s="103"/>
      <c r="G15" s="103"/>
      <c r="H15" s="104"/>
      <c r="I15" s="1"/>
    </row>
    <row r="16" spans="1:9" x14ac:dyDescent="0.25">
      <c r="A16" s="1"/>
      <c r="B16" s="105" t="s">
        <v>40</v>
      </c>
      <c r="C16" s="106"/>
      <c r="D16" s="106"/>
      <c r="E16" s="106"/>
      <c r="F16" s="107"/>
      <c r="G16" s="22">
        <f>(G10+G11-G12)*(1+'Fane 13. Nøgletal'!C11)</f>
        <v>5949443.7428777721</v>
      </c>
      <c r="H16" s="14" t="s">
        <v>3</v>
      </c>
      <c r="I16" s="1"/>
    </row>
    <row r="17" spans="1:9" x14ac:dyDescent="0.25">
      <c r="A17" s="1"/>
      <c r="B17" s="105" t="s">
        <v>100</v>
      </c>
      <c r="C17" s="106"/>
      <c r="D17" s="106"/>
      <c r="E17" s="106"/>
      <c r="F17" s="107"/>
      <c r="G17" s="47">
        <v>-197189.91871909791</v>
      </c>
      <c r="H17" s="14" t="s">
        <v>3</v>
      </c>
      <c r="I17" s="1"/>
    </row>
    <row r="18" spans="1:9" x14ac:dyDescent="0.25">
      <c r="A18" s="1"/>
      <c r="B18" s="108" t="s">
        <v>229</v>
      </c>
      <c r="C18" s="109"/>
      <c r="D18" s="109"/>
      <c r="E18" s="109"/>
      <c r="F18" s="110"/>
      <c r="G18" s="47">
        <v>0</v>
      </c>
      <c r="H18" s="14" t="s">
        <v>3</v>
      </c>
      <c r="I18" s="1"/>
    </row>
    <row r="19" spans="1:9" x14ac:dyDescent="0.25">
      <c r="A19" s="1"/>
      <c r="B19" s="105" t="s">
        <v>41</v>
      </c>
      <c r="C19" s="106"/>
      <c r="D19" s="106"/>
      <c r="E19" s="106"/>
      <c r="F19" s="107"/>
      <c r="G19" s="22">
        <f>SUM(G16:G18)*'Fane 13. Nøgletal'!C33</f>
        <v>115045.07648317349</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2" t="s">
        <v>47</v>
      </c>
      <c r="C22" s="103"/>
      <c r="D22" s="103"/>
      <c r="E22" s="103"/>
      <c r="F22" s="103"/>
      <c r="G22" s="103"/>
      <c r="H22" s="104"/>
      <c r="I22" s="1"/>
    </row>
    <row r="23" spans="1:9" x14ac:dyDescent="0.25">
      <c r="A23" s="1"/>
      <c r="B23" s="105" t="s">
        <v>42</v>
      </c>
      <c r="C23" s="106"/>
      <c r="D23" s="106"/>
      <c r="E23" s="106"/>
      <c r="F23" s="107"/>
      <c r="G23" s="22">
        <f>(SUM(G16:G18)-G19)*(1+'Fane 13. Nøgletal'!C11)</f>
        <v>5732477.5755112162</v>
      </c>
      <c r="H23" s="14" t="s">
        <v>3</v>
      </c>
      <c r="I23" s="1"/>
    </row>
    <row r="24" spans="1:9" x14ac:dyDescent="0.25">
      <c r="A24" s="1"/>
      <c r="B24" s="108" t="s">
        <v>230</v>
      </c>
      <c r="C24" s="109"/>
      <c r="D24" s="109"/>
      <c r="E24" s="109"/>
      <c r="F24" s="110"/>
      <c r="G24" s="47">
        <v>0</v>
      </c>
      <c r="H24" s="14" t="s">
        <v>3</v>
      </c>
      <c r="I24" s="1"/>
    </row>
    <row r="25" spans="1:9" x14ac:dyDescent="0.25">
      <c r="A25" s="1"/>
      <c r="B25" s="105" t="s">
        <v>43</v>
      </c>
      <c r="C25" s="106"/>
      <c r="D25" s="106"/>
      <c r="E25" s="106"/>
      <c r="F25" s="107"/>
      <c r="G25" s="22">
        <f>(G23+G24)*'Fane 13. Nøgletal'!C33</f>
        <v>114649.55151022432</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2" t="s">
        <v>121</v>
      </c>
      <c r="C28" s="103"/>
      <c r="D28" s="103"/>
      <c r="E28" s="103"/>
      <c r="F28" s="103"/>
      <c r="G28" s="103"/>
      <c r="H28" s="104"/>
      <c r="I28" s="1"/>
    </row>
    <row r="29" spans="1:9" x14ac:dyDescent="0.25">
      <c r="A29" s="1"/>
      <c r="B29" s="105" t="s">
        <v>50</v>
      </c>
      <c r="C29" s="106"/>
      <c r="D29" s="106"/>
      <c r="E29" s="106"/>
      <c r="F29" s="107"/>
      <c r="G29" s="22">
        <f>(G23+G24-G25)*(1+'Fane 13. Nøgletal'!C13)</f>
        <v>5686365.5258938037</v>
      </c>
      <c r="H29" s="14" t="s">
        <v>3</v>
      </c>
      <c r="I29" s="1"/>
    </row>
    <row r="30" spans="1:9" x14ac:dyDescent="0.25">
      <c r="A30" s="1"/>
      <c r="B30" s="105" t="s">
        <v>231</v>
      </c>
      <c r="C30" s="106"/>
      <c r="D30" s="106"/>
      <c r="E30" s="106"/>
      <c r="F30" s="107"/>
      <c r="G30" s="47">
        <v>1736946.3358195201</v>
      </c>
      <c r="H30" s="14" t="s">
        <v>3</v>
      </c>
      <c r="I30" s="1"/>
    </row>
    <row r="31" spans="1:9" x14ac:dyDescent="0.25">
      <c r="A31" s="1"/>
      <c r="B31" s="105" t="s">
        <v>115</v>
      </c>
      <c r="C31" s="106"/>
      <c r="D31" s="106"/>
      <c r="E31" s="106"/>
      <c r="F31" s="107"/>
      <c r="G31" s="22">
        <f>(G29+G30)*'Fane 13. Nøgletal'!C33</f>
        <v>148466.23723426647</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2" t="s">
        <v>122</v>
      </c>
      <c r="C34" s="103"/>
      <c r="D34" s="103"/>
      <c r="E34" s="103"/>
      <c r="F34" s="103"/>
      <c r="G34" s="103"/>
      <c r="H34" s="104"/>
      <c r="I34" s="1"/>
    </row>
    <row r="35" spans="1:9" x14ac:dyDescent="0.25">
      <c r="A35" s="1"/>
      <c r="B35" s="105" t="s">
        <v>69</v>
      </c>
      <c r="C35" s="106"/>
      <c r="D35" s="106"/>
      <c r="E35" s="106"/>
      <c r="F35" s="107"/>
      <c r="G35" s="22">
        <f>(G29+G30-G31)*(1+'Fane 13. Nøgletal'!C13)</f>
        <v>7363598.7410977017</v>
      </c>
      <c r="H35" s="14" t="s">
        <v>3</v>
      </c>
      <c r="I35" s="1"/>
    </row>
    <row r="36" spans="1:9" x14ac:dyDescent="0.25">
      <c r="A36" s="1"/>
      <c r="B36" s="105" t="s">
        <v>232</v>
      </c>
      <c r="C36" s="106"/>
      <c r="D36" s="106"/>
      <c r="E36" s="106"/>
      <c r="F36" s="107"/>
      <c r="G36" s="47">
        <v>121833.13584937002</v>
      </c>
      <c r="H36" s="14" t="s">
        <v>3</v>
      </c>
      <c r="I36" s="1"/>
    </row>
    <row r="37" spans="1:9" x14ac:dyDescent="0.25">
      <c r="A37" s="1"/>
      <c r="B37" s="105" t="s">
        <v>123</v>
      </c>
      <c r="C37" s="106"/>
      <c r="D37" s="106"/>
      <c r="E37" s="106"/>
      <c r="F37" s="107"/>
      <c r="G37" s="22">
        <f>(G35+G36)*'Fane 13. Nøgletal'!C33</f>
        <v>149708.63753894143</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2" t="s">
        <v>157</v>
      </c>
      <c r="C40" s="103"/>
      <c r="D40" s="103"/>
      <c r="E40" s="103"/>
      <c r="F40" s="103"/>
      <c r="G40" s="103"/>
      <c r="H40" s="104"/>
      <c r="I40" s="1"/>
    </row>
    <row r="41" spans="1:9" x14ac:dyDescent="0.25">
      <c r="A41" s="1"/>
      <c r="B41" s="105" t="s">
        <v>68</v>
      </c>
      <c r="C41" s="106"/>
      <c r="D41" s="106"/>
      <c r="E41" s="106"/>
      <c r="F41" s="107"/>
      <c r="G41" s="22">
        <f>(G35+G36-G37)*(1+'Fane 13. Nøgletal'!C15)</f>
        <v>7596874.9867310598</v>
      </c>
      <c r="H41" s="14" t="s">
        <v>3</v>
      </c>
      <c r="I41" s="1"/>
    </row>
    <row r="42" spans="1:9" x14ac:dyDescent="0.25">
      <c r="A42" s="1"/>
      <c r="B42" s="105" t="s">
        <v>156</v>
      </c>
      <c r="C42" s="106"/>
      <c r="D42" s="106"/>
      <c r="E42" s="106"/>
      <c r="F42" s="107"/>
      <c r="G42" s="22">
        <v>159365.43229392005</v>
      </c>
      <c r="H42" s="14" t="s">
        <v>3</v>
      </c>
      <c r="I42" s="1"/>
    </row>
    <row r="43" spans="1:9" x14ac:dyDescent="0.25">
      <c r="A43" s="1"/>
      <c r="B43" s="105" t="s">
        <v>166</v>
      </c>
      <c r="C43" s="106"/>
      <c r="D43" s="106"/>
      <c r="E43" s="106"/>
      <c r="F43" s="107"/>
      <c r="G43" s="22">
        <f>(G41+G42)*'Fane 13. Nøgletal'!C33</f>
        <v>155124.8083804996</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2" t="s">
        <v>158</v>
      </c>
      <c r="C46" s="103"/>
      <c r="D46" s="103"/>
      <c r="E46" s="103"/>
      <c r="F46" s="103"/>
      <c r="G46" s="103"/>
      <c r="H46" s="104"/>
      <c r="I46" s="1"/>
    </row>
    <row r="47" spans="1:9" x14ac:dyDescent="0.25">
      <c r="A47" s="1"/>
      <c r="B47" s="105" t="s">
        <v>112</v>
      </c>
      <c r="C47" s="106"/>
      <c r="D47" s="106"/>
      <c r="E47" s="106"/>
      <c r="F47" s="107"/>
      <c r="G47" s="22">
        <f>(G41+G42-G43)*(1+'Fane 13. Nøgletal'!C15)</f>
        <v>7871715.326383424</v>
      </c>
      <c r="H47" s="14" t="s">
        <v>3</v>
      </c>
      <c r="I47" s="1"/>
    </row>
    <row r="48" spans="1:9" x14ac:dyDescent="0.25">
      <c r="A48" s="1"/>
      <c r="B48" s="105" t="s">
        <v>206</v>
      </c>
      <c r="C48" s="106"/>
      <c r="D48" s="106"/>
      <c r="E48" s="106"/>
      <c r="F48" s="107"/>
      <c r="G48" s="22">
        <f>('Fane 2.1. Økonomisk ramme 2024'!C9+'Fane 2.1. Økonomisk ramme 2024'!C11+'Fane 2.1. Økonomisk ramme 2024'!C13)*(1+'Fane 13. Nøgletal'!C16)</f>
        <v>57247.648389120004</v>
      </c>
      <c r="H48" s="14" t="s">
        <v>3</v>
      </c>
      <c r="I48" s="1"/>
    </row>
    <row r="49" spans="1:9" x14ac:dyDescent="0.25">
      <c r="A49" s="1"/>
      <c r="B49" s="105" t="s">
        <v>167</v>
      </c>
      <c r="C49" s="106"/>
      <c r="D49" s="106"/>
      <c r="E49" s="106"/>
      <c r="F49" s="107"/>
      <c r="G49" s="22">
        <f>G47*'Fane 13. Nøgletal'!C33+G48*'Fane 13. Nøgletal'!C33</f>
        <v>158579.25949545088</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2" t="s">
        <v>133</v>
      </c>
      <c r="C52" s="103"/>
      <c r="D52" s="103"/>
      <c r="E52" s="103"/>
      <c r="F52" s="103"/>
      <c r="G52" s="103"/>
      <c r="H52" s="104"/>
      <c r="I52" s="1"/>
    </row>
    <row r="53" spans="1:9" x14ac:dyDescent="0.25">
      <c r="A53" s="1"/>
      <c r="B53" s="105" t="s">
        <v>134</v>
      </c>
      <c r="C53" s="106"/>
      <c r="D53" s="106"/>
      <c r="E53" s="106"/>
      <c r="F53" s="107"/>
      <c r="G53" s="22">
        <f>(G47+G48-G49)*(1+'Fane 13. Nøgletal'!C16)</f>
        <v>8398230.7194714807</v>
      </c>
      <c r="H53" s="14" t="s">
        <v>3</v>
      </c>
      <c r="I53" s="1"/>
    </row>
    <row r="54" spans="1:9" x14ac:dyDescent="0.25">
      <c r="A54" s="1"/>
      <c r="B54" s="105" t="s">
        <v>135</v>
      </c>
      <c r="C54" s="106"/>
      <c r="D54" s="106"/>
      <c r="E54" s="106"/>
      <c r="F54" s="107"/>
      <c r="G54" s="22">
        <f>(G53)*'Fane 13. Nøgletal'!C33</f>
        <v>167964.61438942963</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2" t="s">
        <v>144</v>
      </c>
      <c r="C57" s="103"/>
      <c r="D57" s="103"/>
      <c r="E57" s="103"/>
      <c r="F57" s="103"/>
      <c r="G57" s="103"/>
      <c r="H57" s="104"/>
      <c r="I57" s="1"/>
    </row>
    <row r="58" spans="1:9" x14ac:dyDescent="0.25">
      <c r="A58" s="1"/>
      <c r="B58" s="105" t="s">
        <v>145</v>
      </c>
      <c r="C58" s="106"/>
      <c r="D58" s="106"/>
      <c r="E58" s="106"/>
      <c r="F58" s="107"/>
      <c r="G58" s="22">
        <f>(G53-G54)*(1+'Fane 13. Nøgletal'!C16)</f>
        <v>8895271.6063726805</v>
      </c>
      <c r="H58" s="14" t="s">
        <v>3</v>
      </c>
      <c r="I58" s="1"/>
    </row>
    <row r="59" spans="1:9" x14ac:dyDescent="0.25">
      <c r="A59" s="1"/>
      <c r="B59" s="105" t="s">
        <v>146</v>
      </c>
      <c r="C59" s="106"/>
      <c r="D59" s="106"/>
      <c r="E59" s="106"/>
      <c r="F59" s="107"/>
      <c r="G59" s="22">
        <f>(G58)*'Fane 13. Nøgletal'!C33</f>
        <v>177905.43212745362</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2" t="s">
        <v>220</v>
      </c>
      <c r="C62" s="103"/>
      <c r="D62" s="103"/>
      <c r="E62" s="103"/>
      <c r="F62" s="103"/>
      <c r="G62" s="103"/>
      <c r="H62" s="104"/>
      <c r="I62" s="1"/>
    </row>
    <row r="63" spans="1:9" x14ac:dyDescent="0.25">
      <c r="A63" s="1"/>
      <c r="B63" s="105" t="s">
        <v>221</v>
      </c>
      <c r="C63" s="106"/>
      <c r="D63" s="106"/>
      <c r="E63" s="106"/>
      <c r="F63" s="107"/>
      <c r="G63" s="22">
        <f>(G58-G59)*(1+'Fane 13. Nøgletal'!C16)</f>
        <v>9421729.3611242417</v>
      </c>
      <c r="H63" s="14" t="s">
        <v>3</v>
      </c>
      <c r="I63" s="1"/>
    </row>
    <row r="64" spans="1:9" x14ac:dyDescent="0.25">
      <c r="A64" s="1"/>
      <c r="B64" s="105" t="s">
        <v>222</v>
      </c>
      <c r="C64" s="106"/>
      <c r="D64" s="106"/>
      <c r="E64" s="106"/>
      <c r="F64" s="107"/>
      <c r="G64" s="22">
        <f>(G63)*'Fane 13. Nøgletal'!C33</f>
        <v>188434.58722248484</v>
      </c>
      <c r="H64" s="14" t="s">
        <v>3</v>
      </c>
      <c r="I64" s="1"/>
    </row>
    <row r="65" spans="1:9" x14ac:dyDescent="0.25">
      <c r="A65" s="1"/>
      <c r="B65" s="52"/>
      <c r="C65" s="53"/>
      <c r="D65" s="53"/>
      <c r="E65" s="53"/>
      <c r="F65" s="53"/>
      <c r="G65" s="50"/>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Ptkijg9G2e2TLDJI5zDW50C7PYBItEPO7+pxw2JXY0HyPm//EXcSFyzxUN94GrMXno/q8HVwa+wON0TJoDyp2A==" saltValue="JiWMnx+/iPRd/CcKtg2p7g=="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1" t="s">
        <v>91</v>
      </c>
      <c r="C1" s="112"/>
      <c r="D1" s="112"/>
      <c r="E1" s="112"/>
      <c r="F1" s="112"/>
      <c r="G1" s="112"/>
      <c r="H1" s="112"/>
      <c r="I1" s="1"/>
    </row>
    <row r="2" spans="1:9" ht="19.899999999999999" customHeight="1" x14ac:dyDescent="0.25">
      <c r="A2" s="1"/>
      <c r="B2" s="112"/>
      <c r="C2" s="112"/>
      <c r="D2" s="112"/>
      <c r="E2" s="112"/>
      <c r="F2" s="112"/>
      <c r="G2" s="112"/>
      <c r="H2" s="112"/>
      <c r="I2" s="1"/>
    </row>
    <row r="3" spans="1:9" ht="15" customHeight="1" x14ac:dyDescent="0.25">
      <c r="A3" s="1"/>
      <c r="B3" s="113"/>
      <c r="C3" s="113"/>
      <c r="D3" s="113"/>
      <c r="E3" s="113"/>
      <c r="F3" s="113"/>
      <c r="G3" s="113"/>
      <c r="H3" s="113"/>
      <c r="I3" s="1"/>
    </row>
    <row r="4" spans="1:9" x14ac:dyDescent="0.25">
      <c r="A4" s="1"/>
      <c r="B4" s="102" t="s">
        <v>48</v>
      </c>
      <c r="C4" s="103"/>
      <c r="D4" s="103"/>
      <c r="E4" s="103"/>
      <c r="F4" s="103"/>
      <c r="G4" s="103"/>
      <c r="H4" s="104"/>
      <c r="I4" s="1"/>
    </row>
    <row r="5" spans="1:9" x14ac:dyDescent="0.25">
      <c r="A5" s="1"/>
      <c r="B5" s="105" t="s">
        <v>51</v>
      </c>
      <c r="C5" s="106"/>
      <c r="D5" s="106"/>
      <c r="E5" s="106"/>
      <c r="F5" s="107"/>
      <c r="G5" s="47">
        <v>6326609.3285152912</v>
      </c>
      <c r="H5" s="14" t="s">
        <v>3</v>
      </c>
      <c r="I5" s="1"/>
    </row>
    <row r="6" spans="1:9" x14ac:dyDescent="0.25">
      <c r="A6" s="1"/>
      <c r="B6" s="105" t="s">
        <v>49</v>
      </c>
      <c r="C6" s="106"/>
      <c r="D6" s="106"/>
      <c r="E6" s="106"/>
      <c r="F6" s="107"/>
      <c r="G6" s="22">
        <f>G5*'Fane 13. Nøgletal'!C21</f>
        <v>57572.144889489151</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2" t="s">
        <v>52</v>
      </c>
      <c r="C9" s="103"/>
      <c r="D9" s="103"/>
      <c r="E9" s="103"/>
      <c r="F9" s="103"/>
      <c r="G9" s="103"/>
      <c r="H9" s="104"/>
      <c r="I9" s="1"/>
    </row>
    <row r="10" spans="1:9" x14ac:dyDescent="0.25">
      <c r="A10" s="1"/>
      <c r="B10" s="105" t="s">
        <v>53</v>
      </c>
      <c r="C10" s="106"/>
      <c r="D10" s="106"/>
      <c r="E10" s="106"/>
      <c r="F10" s="107"/>
      <c r="G10" s="22">
        <f>(G5-G6)*(1+'Fane 13. Nøgletal'!C9)</f>
        <v>6348653.9558578497</v>
      </c>
      <c r="H10" s="14" t="s">
        <v>3</v>
      </c>
      <c r="I10" s="1"/>
    </row>
    <row r="11" spans="1:9" x14ac:dyDescent="0.25">
      <c r="A11" s="1"/>
      <c r="B11" s="108" t="s">
        <v>54</v>
      </c>
      <c r="C11" s="109"/>
      <c r="D11" s="109"/>
      <c r="E11" s="109"/>
      <c r="F11" s="110"/>
      <c r="G11" s="48">
        <v>0</v>
      </c>
      <c r="H11" s="14" t="s">
        <v>3</v>
      </c>
      <c r="I11" s="1"/>
    </row>
    <row r="12" spans="1:9" x14ac:dyDescent="0.25">
      <c r="A12" s="1"/>
      <c r="B12" s="105" t="s">
        <v>55</v>
      </c>
      <c r="C12" s="106"/>
      <c r="D12" s="106"/>
      <c r="E12" s="106"/>
      <c r="F12" s="107"/>
      <c r="G12" s="22">
        <f>G10*'Fane 13. Nøgletal'!C21+G11*'Fane 13. Nøgletal'!C22</f>
        <v>57772.750998306437</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2" t="s">
        <v>56</v>
      </c>
      <c r="C15" s="103"/>
      <c r="D15" s="103"/>
      <c r="E15" s="103"/>
      <c r="F15" s="103"/>
      <c r="G15" s="103"/>
      <c r="H15" s="104"/>
      <c r="I15" s="1"/>
    </row>
    <row r="16" spans="1:9" x14ac:dyDescent="0.25">
      <c r="A16" s="1"/>
      <c r="B16" s="105" t="s">
        <v>57</v>
      </c>
      <c r="C16" s="106"/>
      <c r="D16" s="106"/>
      <c r="E16" s="106"/>
      <c r="F16" s="107"/>
      <c r="G16" s="22">
        <f>(G10+G11-G12)*(1+'Fane 13. Nøgletal'!C11)</f>
        <v>6397197.0972216697</v>
      </c>
      <c r="H16" s="14" t="s">
        <v>3</v>
      </c>
      <c r="I16" s="1"/>
    </row>
    <row r="17" spans="1:9" x14ac:dyDescent="0.25">
      <c r="A17" s="1"/>
      <c r="B17" s="105" t="s">
        <v>101</v>
      </c>
      <c r="C17" s="106"/>
      <c r="D17" s="106"/>
      <c r="E17" s="106"/>
      <c r="F17" s="107"/>
      <c r="G17" s="47">
        <v>23994.741571507882</v>
      </c>
      <c r="H17" s="14" t="s">
        <v>3</v>
      </c>
      <c r="I17" s="1"/>
    </row>
    <row r="18" spans="1:9" x14ac:dyDescent="0.25">
      <c r="A18" s="1"/>
      <c r="B18" s="108" t="s">
        <v>58</v>
      </c>
      <c r="C18" s="109"/>
      <c r="D18" s="109"/>
      <c r="E18" s="109"/>
      <c r="F18" s="110"/>
      <c r="G18" s="47">
        <v>138364.79096043998</v>
      </c>
      <c r="H18" s="14" t="s">
        <v>3</v>
      </c>
      <c r="I18" s="1"/>
    </row>
    <row r="19" spans="1:9" x14ac:dyDescent="0.25">
      <c r="A19" s="1"/>
      <c r="B19" s="105" t="s">
        <v>59</v>
      </c>
      <c r="C19" s="106"/>
      <c r="D19" s="106"/>
      <c r="E19" s="106"/>
      <c r="F19" s="107"/>
      <c r="G19" s="22">
        <f>(G16+G17+G18)*'Fane 13. Nøgletal'!C23</f>
        <v>57068.142678856471</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2" t="s">
        <v>60</v>
      </c>
      <c r="C22" s="103"/>
      <c r="D22" s="103"/>
      <c r="E22" s="103"/>
      <c r="F22" s="103"/>
      <c r="G22" s="103"/>
      <c r="H22" s="104"/>
      <c r="I22" s="1"/>
    </row>
    <row r="23" spans="1:9" x14ac:dyDescent="0.25">
      <c r="A23" s="1"/>
      <c r="B23" s="105" t="s">
        <v>61</v>
      </c>
      <c r="C23" s="106"/>
      <c r="D23" s="106"/>
      <c r="E23" s="106"/>
      <c r="F23" s="107"/>
      <c r="G23" s="22">
        <f>(SUM(G16:G18)-G19)*(1+'Fane 13. Nøgletal'!C11)</f>
        <v>6612380.5425063232</v>
      </c>
      <c r="H23" s="14" t="s">
        <v>3</v>
      </c>
      <c r="I23" s="1"/>
    </row>
    <row r="24" spans="1:9" x14ac:dyDescent="0.25">
      <c r="A24" s="1"/>
      <c r="B24" s="108" t="s">
        <v>62</v>
      </c>
      <c r="C24" s="109"/>
      <c r="D24" s="109"/>
      <c r="E24" s="109"/>
      <c r="F24" s="110"/>
      <c r="G24" s="47">
        <v>122892.45037829102</v>
      </c>
      <c r="H24" s="14" t="s">
        <v>3</v>
      </c>
      <c r="I24" s="1"/>
    </row>
    <row r="25" spans="1:9" x14ac:dyDescent="0.25">
      <c r="A25" s="1"/>
      <c r="B25" s="105" t="s">
        <v>63</v>
      </c>
      <c r="C25" s="106"/>
      <c r="D25" s="106"/>
      <c r="E25" s="106"/>
      <c r="F25" s="107"/>
      <c r="G25" s="22">
        <f>G23*'Fane 13. Nøgletal'!C23+G24*'Fane 13. Nøgletal'!C24</f>
        <v>61017.856310548472</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2" t="s">
        <v>119</v>
      </c>
      <c r="C28" s="103"/>
      <c r="D28" s="103"/>
      <c r="E28" s="103"/>
      <c r="F28" s="103"/>
      <c r="G28" s="103"/>
      <c r="H28" s="104"/>
      <c r="I28" s="1"/>
    </row>
    <row r="29" spans="1:9" x14ac:dyDescent="0.25">
      <c r="A29" s="1"/>
      <c r="B29" s="105" t="s">
        <v>64</v>
      </c>
      <c r="C29" s="106"/>
      <c r="D29" s="106"/>
      <c r="E29" s="106"/>
      <c r="F29" s="107"/>
      <c r="G29" s="22">
        <f>(G23+G24-G25)*(1+'Fane 13. Nøgletal'!C13)</f>
        <v>6755681.0492402697</v>
      </c>
      <c r="H29" s="14" t="s">
        <v>3</v>
      </c>
      <c r="I29" s="1"/>
    </row>
    <row r="30" spans="1:9" x14ac:dyDescent="0.25">
      <c r="A30" s="1"/>
      <c r="B30" s="105" t="s">
        <v>113</v>
      </c>
      <c r="C30" s="106"/>
      <c r="D30" s="106"/>
      <c r="E30" s="106"/>
      <c r="F30" s="107"/>
      <c r="G30" s="47">
        <v>712788.87347640004</v>
      </c>
      <c r="H30" s="14" t="s">
        <v>3</v>
      </c>
      <c r="I30" s="1"/>
    </row>
    <row r="31" spans="1:9" x14ac:dyDescent="0.25">
      <c r="A31" s="1"/>
      <c r="B31" s="105" t="s">
        <v>120</v>
      </c>
      <c r="C31" s="106"/>
      <c r="D31" s="106"/>
      <c r="E31" s="106"/>
      <c r="F31" s="107"/>
      <c r="G31" s="22">
        <f>(G29+G30)*'Fane 13. Nøgletal'!C25</f>
        <v>205382.92287470843</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2" t="s">
        <v>124</v>
      </c>
      <c r="C34" s="103"/>
      <c r="D34" s="103"/>
      <c r="E34" s="103"/>
      <c r="F34" s="103"/>
      <c r="G34" s="103"/>
      <c r="H34" s="104"/>
      <c r="I34" s="1"/>
    </row>
    <row r="35" spans="1:9" x14ac:dyDescent="0.25">
      <c r="A35" s="1"/>
      <c r="B35" s="105" t="s">
        <v>67</v>
      </c>
      <c r="C35" s="106"/>
      <c r="D35" s="106"/>
      <c r="E35" s="106"/>
      <c r="F35" s="107"/>
      <c r="G35" s="22">
        <f>(G29+G30-G31)*(1+'Fane 13. Nøgletal'!C13)</f>
        <v>7351696.6612400329</v>
      </c>
      <c r="H35" s="14" t="s">
        <v>3</v>
      </c>
      <c r="I35" s="1"/>
    </row>
    <row r="36" spans="1:9" x14ac:dyDescent="0.25">
      <c r="A36" s="1"/>
      <c r="B36" s="105" t="s">
        <v>129</v>
      </c>
      <c r="C36" s="106"/>
      <c r="D36" s="106"/>
      <c r="E36" s="106"/>
      <c r="F36" s="107"/>
      <c r="G36" s="22">
        <v>37090.591463830009</v>
      </c>
      <c r="H36" s="14" t="s">
        <v>3</v>
      </c>
      <c r="I36" s="1"/>
    </row>
    <row r="37" spans="1:9" x14ac:dyDescent="0.25">
      <c r="A37" s="1"/>
      <c r="B37" s="105" t="s">
        <v>125</v>
      </c>
      <c r="C37" s="106"/>
      <c r="D37" s="106"/>
      <c r="E37" s="106"/>
      <c r="F37" s="107"/>
      <c r="G37" s="22">
        <f>G35*'Fane 13. Nøgletal'!C25+G36*'Fane 13. Nøgletal'!C26</f>
        <v>202720.59893776558</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2" t="s">
        <v>159</v>
      </c>
      <c r="C40" s="103"/>
      <c r="D40" s="103"/>
      <c r="E40" s="103"/>
      <c r="F40" s="103"/>
      <c r="G40" s="103"/>
      <c r="H40" s="104"/>
      <c r="I40" s="1"/>
    </row>
    <row r="41" spans="1:9" x14ac:dyDescent="0.25">
      <c r="A41" s="1"/>
      <c r="B41" s="105" t="s">
        <v>66</v>
      </c>
      <c r="C41" s="106"/>
      <c r="D41" s="106"/>
      <c r="E41" s="106"/>
      <c r="F41" s="107"/>
      <c r="G41" s="22">
        <f>(G35+G36-G37)*(1+'Fane 13. Nøgletal'!C15)</f>
        <v>7441890.6266401708</v>
      </c>
      <c r="H41" s="14" t="s">
        <v>3</v>
      </c>
      <c r="I41" s="1"/>
    </row>
    <row r="42" spans="1:9" x14ac:dyDescent="0.25">
      <c r="A42" s="1"/>
      <c r="B42" s="105" t="s">
        <v>169</v>
      </c>
      <c r="C42" s="106"/>
      <c r="D42" s="106"/>
      <c r="E42" s="106"/>
      <c r="F42" s="107"/>
      <c r="G42" s="9">
        <v>762710.90228064009</v>
      </c>
      <c r="H42" s="14" t="s">
        <v>3</v>
      </c>
      <c r="I42" s="1"/>
    </row>
    <row r="43" spans="1:9" x14ac:dyDescent="0.25">
      <c r="A43" s="1"/>
      <c r="B43" s="105" t="s">
        <v>65</v>
      </c>
      <c r="C43" s="106"/>
      <c r="D43" s="106"/>
      <c r="E43" s="106"/>
      <c r="F43" s="107"/>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2" t="s">
        <v>160</v>
      </c>
      <c r="C46" s="103"/>
      <c r="D46" s="103"/>
      <c r="E46" s="103"/>
      <c r="F46" s="103"/>
      <c r="G46" s="103"/>
      <c r="H46" s="104"/>
      <c r="I46" s="1"/>
    </row>
    <row r="47" spans="1:9" x14ac:dyDescent="0.25">
      <c r="A47" s="1"/>
      <c r="B47" s="105" t="s">
        <v>114</v>
      </c>
      <c r="C47" s="106"/>
      <c r="D47" s="106"/>
      <c r="E47" s="106"/>
      <c r="F47" s="107"/>
      <c r="G47" s="22">
        <f>(G41+G42-G43)*(1+'Fane 13. Nøgletal'!C15)</f>
        <v>8496685.3433503918</v>
      </c>
      <c r="H47" s="14" t="s">
        <v>3</v>
      </c>
      <c r="I47" s="1"/>
    </row>
    <row r="48" spans="1:9" x14ac:dyDescent="0.25">
      <c r="A48" s="1"/>
      <c r="B48" s="105" t="s">
        <v>210</v>
      </c>
      <c r="C48" s="106"/>
      <c r="D48" s="106"/>
      <c r="E48" s="106"/>
      <c r="F48" s="107"/>
      <c r="G48" s="22">
        <f>('Fane 2.1. Økonomisk ramme 2024'!C10+'Fane 2.1. Økonomisk ramme 2024'!C12+'Fane 2.1. Økonomisk ramme 2024'!C14)*(1+'Fane 13. Nøgletal'!C16)</f>
        <v>643933.24905728002</v>
      </c>
      <c r="H48" s="14" t="s">
        <v>3</v>
      </c>
      <c r="I48" s="1"/>
    </row>
    <row r="49" spans="1:9" x14ac:dyDescent="0.25">
      <c r="A49" s="1"/>
      <c r="B49" s="105" t="s">
        <v>211</v>
      </c>
      <c r="C49" s="106"/>
      <c r="D49" s="106"/>
      <c r="E49" s="106"/>
      <c r="F49" s="107"/>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2" t="s">
        <v>130</v>
      </c>
      <c r="C52" s="103"/>
      <c r="D52" s="103"/>
      <c r="E52" s="103"/>
      <c r="F52" s="103"/>
      <c r="G52" s="103"/>
      <c r="H52" s="104"/>
      <c r="I52" s="1"/>
    </row>
    <row r="53" spans="1:9" x14ac:dyDescent="0.25">
      <c r="A53" s="1"/>
      <c r="B53" s="105" t="s">
        <v>131</v>
      </c>
      <c r="C53" s="106"/>
      <c r="D53" s="106"/>
      <c r="E53" s="106"/>
      <c r="F53" s="107"/>
      <c r="G53" s="22">
        <f>(G47+G48-G49)*(1+'Fane 13. Nøgletal'!C16)</f>
        <v>9879180.5746742114</v>
      </c>
      <c r="H53" s="14" t="s">
        <v>3</v>
      </c>
      <c r="I53" s="1"/>
    </row>
    <row r="54" spans="1:9" x14ac:dyDescent="0.25">
      <c r="A54" s="1"/>
      <c r="B54" s="105" t="s">
        <v>132</v>
      </c>
      <c r="C54" s="106"/>
      <c r="D54" s="106"/>
      <c r="E54" s="106"/>
      <c r="F54" s="107"/>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2" t="s">
        <v>147</v>
      </c>
      <c r="C57" s="103"/>
      <c r="D57" s="103"/>
      <c r="E57" s="103"/>
      <c r="F57" s="103"/>
      <c r="G57" s="103"/>
      <c r="H57" s="104"/>
      <c r="I57" s="1"/>
    </row>
    <row r="58" spans="1:9" x14ac:dyDescent="0.25">
      <c r="A58" s="1"/>
      <c r="B58" s="105" t="s">
        <v>148</v>
      </c>
      <c r="C58" s="106"/>
      <c r="D58" s="106"/>
      <c r="E58" s="106"/>
      <c r="F58" s="107"/>
      <c r="G58" s="22">
        <f>(G53-G54)*(1+'Fane 13. Nøgletal'!C16)</f>
        <v>10677418.365107888</v>
      </c>
      <c r="H58" s="14" t="s">
        <v>3</v>
      </c>
      <c r="I58" s="1"/>
    </row>
    <row r="59" spans="1:9" x14ac:dyDescent="0.25">
      <c r="A59" s="1"/>
      <c r="B59" s="105" t="s">
        <v>149</v>
      </c>
      <c r="C59" s="106"/>
      <c r="D59" s="106"/>
      <c r="E59" s="106"/>
      <c r="F59" s="107"/>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2" t="s">
        <v>223</v>
      </c>
      <c r="C62" s="103"/>
      <c r="D62" s="103"/>
      <c r="E62" s="103"/>
      <c r="F62" s="103"/>
      <c r="G62" s="103"/>
      <c r="H62" s="104"/>
      <c r="I62" s="1"/>
    </row>
    <row r="63" spans="1:9" x14ac:dyDescent="0.25">
      <c r="A63" s="1"/>
      <c r="B63" s="105" t="s">
        <v>224</v>
      </c>
      <c r="C63" s="106"/>
      <c r="D63" s="106"/>
      <c r="E63" s="106"/>
      <c r="F63" s="107"/>
      <c r="G63" s="22">
        <f>(G58-G59)*(1+'Fane 13. Nøgletal'!C16)</f>
        <v>11540153.769008605</v>
      </c>
      <c r="H63" s="14" t="s">
        <v>3</v>
      </c>
      <c r="I63" s="1"/>
    </row>
    <row r="64" spans="1:9" x14ac:dyDescent="0.25">
      <c r="A64" s="1"/>
      <c r="B64" s="105" t="s">
        <v>225</v>
      </c>
      <c r="C64" s="106"/>
      <c r="D64" s="106"/>
      <c r="E64" s="106"/>
      <c r="F64" s="107"/>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MOrkuVIWhieSmiCMjo0AwcDyFM48Sdq4jNnU/eYWIlyHxNp/cSf/SncCcYlaEW8J5AHSkvaqlcvI+ihvbJYiHA==" saltValue="7ukBGECMB5EN4z32g8GA/w=="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77</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2" t="s">
        <v>9</v>
      </c>
      <c r="C8" s="103"/>
      <c r="D8" s="103"/>
      <c r="E8" s="103"/>
      <c r="F8" s="103"/>
      <c r="G8" s="104"/>
      <c r="H8" s="1"/>
    </row>
    <row r="9" spans="1:8" x14ac:dyDescent="0.25">
      <c r="A9" s="1"/>
      <c r="B9" s="66" t="s">
        <v>150</v>
      </c>
      <c r="C9" s="67"/>
      <c r="D9" s="67"/>
      <c r="E9" s="67"/>
      <c r="F9" s="68"/>
      <c r="G9" s="64">
        <v>1.1687040882475602E-2</v>
      </c>
      <c r="H9" s="1"/>
    </row>
    <row r="10" spans="1:8" x14ac:dyDescent="0.25">
      <c r="A10" s="1"/>
      <c r="B10" s="52"/>
      <c r="C10" s="53"/>
      <c r="D10" s="53"/>
      <c r="E10" s="53"/>
      <c r="F10" s="53"/>
      <c r="G10" s="19"/>
      <c r="H10" s="1"/>
    </row>
    <row r="11" spans="1:8" ht="15" customHeight="1" x14ac:dyDescent="0.25">
      <c r="A11" s="1"/>
      <c r="B11" s="114" t="s">
        <v>236</v>
      </c>
      <c r="C11" s="115"/>
      <c r="D11" s="115"/>
      <c r="E11" s="115"/>
      <c r="F11" s="115"/>
      <c r="G11" s="116"/>
      <c r="H11" s="1"/>
    </row>
    <row r="12" spans="1:8" ht="13.5" customHeight="1" x14ac:dyDescent="0.25">
      <c r="A12" s="1"/>
      <c r="B12" s="117"/>
      <c r="C12" s="118"/>
      <c r="D12" s="118"/>
      <c r="E12" s="118"/>
      <c r="F12" s="118"/>
      <c r="G12" s="119"/>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8yemQtknjfDBVz9UBCQaGaslPc2WSl9dGTVkPRSnv8CehdllfZWN4YkhpUnXy5qvYDTokCSjt9P6Gc5OFq/yjQ==" saltValue="yGNQBnnNu+r9xLm0W1+uXg=="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2023-11-06T16:09:46Z</dcterms:modified>
</cp:coreProperties>
</file>