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lemensker Vandværk (V11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C12" i="7" l="1"/>
  <c r="E25" i="8" l="1"/>
  <c r="E33" i="8" l="1"/>
  <c r="E35" i="8" s="1"/>
  <c r="E29" i="8"/>
  <c r="E25" i="2" s="1"/>
  <c r="E10" i="2"/>
  <c r="E14" i="6"/>
  <c r="E20" i="3" l="1"/>
  <c r="E20" i="5"/>
  <c r="E20" i="4"/>
  <c r="C11" i="12"/>
  <c r="C12" i="12" s="1"/>
  <c r="C13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9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7" i="3" s="1"/>
  <c r="C19" i="11"/>
  <c r="C20" i="11" s="1"/>
  <c r="E16" i="3" s="1"/>
  <c r="E18" i="5" l="1"/>
  <c r="E21" i="2"/>
  <c r="E18" i="4"/>
  <c r="E20" i="2"/>
  <c r="E18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4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8" i="3" l="1"/>
  <c r="E10" i="3" s="1"/>
  <c r="E11" i="3" s="1"/>
  <c r="E12" i="3" s="1"/>
  <c r="E21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<sst xmlns="http://schemas.openxmlformats.org/spreadsheetml/2006/main" count="401" uniqueCount="152">
  <si>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</si>
  <si>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</si>
  <si>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</si>
  <si>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</si>
  <si>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</si>
  <si>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</si>
  <si>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</si>
  <si>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</si>
  <si>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</si>
  <si>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</si>
  <si>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</si>
  <si>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</si>
  <si>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</si>
  <si>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</si>
  <si>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</si>
  <si>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</si>
  <si>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</si>
  <si>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</si>
  <si>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</si>
  <si>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</si>
  <si>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</si>
  <si>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</si>
  <si>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</si>
  <si>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</si>
  <si>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</si>
  <si>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</si>
  <si>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</si>
  <si>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</si>
  <si>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</si>
  <si>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</si>
  <si>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</si>
  <si>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</si>
  <si>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</si>
  <si>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</si>
  <si>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</si>
  <si>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</si>
  <si>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</si>
  <si>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</si>
  <si>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</si>
  <si>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</si>
  <si>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</si>
  <si>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</si>
  <si>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</si>
  <si>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</si>
  <si>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</si>
  <si>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</si>
  <si>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</si>
  <si>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</si>
  <si>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</si>
  <si>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</si>
  <si>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</si>
  <si>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</si>
  <si>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</si>
  <si>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</si>
  <si>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</si>
  <si>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</si>
  <si>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</si>
  <si>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</si>
  <si>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</si>
  <si>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</si>
  <si>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</si>
  <si>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</si>
  <si>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</si>
  <si>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</si>
  <si>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</si>
  <si>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</si>
  <si>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</si>
  <si>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</si>
  <si>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</si>
  <si>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</si>
  <si>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</si>
  <si>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</si>
  <si>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</si>
  <si>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</si>
  <si>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</si>
  <si>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</si>
  <si>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</si>
  <si>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</si>
  <si>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</si>
  <si>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</si>
  <si>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</si>
  <si>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</si>
  <si>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</si>
  <si>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</si>
  <si>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</si>
  <si>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</si>
  <si>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</si>
  <si>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</si>
  <si>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</si>
  <si>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</si>
  <si>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</si>
  <si>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</si>
  <si>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</si>
  <si>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</si>
  <si>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</si>
  <si>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</si>
  <si>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</si>
  <si>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</si>
  <si>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</si>
  <si>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</si>
  <si>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</si>
  <si>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</si>
  <si>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</si>
  <si>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</si>
  <si>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</si>
  <si>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</si>
  <si>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</si>
  <si>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</si>
  <si>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</si>
  <si>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</si>
  <si>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</si>
  <si>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</si>
  <si>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</si>
  <si>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</si>
  <si>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</si>
  <si>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</si>
  <si>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</si>
  <si>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</si>
  <si>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</si>
  <si>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</si>
  <si>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</si>
  <si>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</si>
  <si>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</si>
  <si>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</si>
  <si>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</si>
  <si>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</si>
  <si>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</si>
  <si>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</si>
  <si>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</si>
  <si>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bortfald eller nedsættelse</t>
  </si>
  <si>
    <t>Fane 7: Kontrol med overholdelse af den økonomiske ramme for 2020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</si>
  <si>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</si>
  <si>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</si>
  <si>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</si>
  <si>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</si>
  <si>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</si>
  <si>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</si>
  <si>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</si>
  <si>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</si>
  <si>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</si>
  <si>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</si>
  <si>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</si>
  <si>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</si>
  <si>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</si>
  <si>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</si>
  <si>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</si>
  <si>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</si>
  <si>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</si>
  <si>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</si>
  <si>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Skønnede indtægter for 2020</t>
  </si>
  <si>
    <t>Skøn for afgift til ledningsført vand</t>
  </si>
  <si>
    <t>Skøn for afgift til Forsyningssekretariatet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</si>
</sst>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2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2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2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vg56XLcUAXlHz1WwHBPCSyHGXyXWHY/G1phrcmnue+NyAUMV+3Q0wylYxw/Tg9socpP6J+iDKZYknsqkSpfHw==" saltValue="MTxw8VyCR54kIOe8A9IJz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nJMgaiA96imL21mSvr5/j5lJhWVyx+Q/FESuACMgSpSV2+4IX7sSF8hztcbM/YPLUEs/LatSpfBG8RV3YUonpw==" saltValue="rirfBRtOmLrt2nFnD2/aY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51</v>
      </c>
      <c r="C8" s="89"/>
      <c r="D8" s="89"/>
      <c r="E8" s="89"/>
      <c r="F8" s="90"/>
      <c r="G8" s="1"/>
    </row>
    <row r="9" spans="1:7" x14ac:dyDescent="0.2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25">
      <c r="A10" s="1"/>
      <c r="B10" s="20" t="s">
        <v>148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2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52</v>
      </c>
      <c r="C15" s="89"/>
      <c r="D15" s="89"/>
      <c r="E15" s="89"/>
      <c r="F15" s="90"/>
      <c r="G15" s="1"/>
    </row>
    <row r="16" spans="1:7" x14ac:dyDescent="0.2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25">
      <c r="A17" s="1"/>
      <c r="B17" s="20" t="s">
        <v>148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2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8" t="s">
        <v>77</v>
      </c>
      <c r="C22" s="89"/>
      <c r="D22" s="89"/>
      <c r="E22" s="89"/>
      <c r="F22" s="90"/>
      <c r="G22" s="1"/>
    </row>
    <row r="23" spans="1:7" x14ac:dyDescent="0.2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25">
      <c r="A24" s="1"/>
      <c r="B24" s="20" t="s">
        <v>148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2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8" t="s">
        <v>112</v>
      </c>
      <c r="C29" s="89"/>
      <c r="D29" s="89"/>
      <c r="E29" s="89"/>
      <c r="F29" s="90"/>
      <c r="G29" s="1"/>
    </row>
    <row r="30" spans="1:7" x14ac:dyDescent="0.2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25">
      <c r="A31" s="1"/>
      <c r="B31" s="20" t="s">
        <v>148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2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F5E1U9elW4z6bKKJ+UqTNYDjk0wHqOBnBj0PvVWE0xorHOG1lc77491Kpblww7JLDUF4bOThC7MnFa574cQINA==" saltValue="akE9GeUkotjM8hnamuK1A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2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25">
      <c r="A10" s="1"/>
      <c r="B10" s="20" t="s">
        <v>128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r10YV/c9cMn1Vpx9Xpc0grO8hQyAqCXNJ1PTZ83QkMDEhdUzEQt80XqwpaT22dEaUPk09az4eLRsENhwpAo6TA==" saltValue="OM50UV2Rm7RQOo0NKS8J1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2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49</v>
      </c>
      <c r="C14" s="89"/>
      <c r="D14" s="89"/>
      <c r="E14" s="89"/>
      <c r="F14" s="90"/>
      <c r="G14" s="1"/>
    </row>
    <row r="15" spans="1:7" ht="26.25" x14ac:dyDescent="0.2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25">
      <c r="A16" s="1"/>
      <c r="B16" s="20" t="s">
        <v>129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73</v>
      </c>
      <c r="C20" s="89"/>
      <c r="D20" s="89"/>
      <c r="E20" s="89"/>
      <c r="F20" s="90"/>
      <c r="G20" s="1"/>
    </row>
    <row r="21" spans="1:7" ht="26.25" x14ac:dyDescent="0.2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25">
      <c r="A22" s="1"/>
      <c r="B22" s="20" t="s">
        <v>129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116</v>
      </c>
      <c r="C26" s="89"/>
      <c r="D26" s="89"/>
      <c r="E26" s="89"/>
      <c r="F26" s="90"/>
      <c r="G26" s="1"/>
    </row>
    <row r="27" spans="1:7" ht="26.25" x14ac:dyDescent="0.2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25">
      <c r="A28" s="1"/>
      <c r="B28" s="20" t="s">
        <v>129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U75MKfXfAgN5yjA///GlMfwvxNL9RY70YweIOZ5juOTc01Da8Ypb89w/vsLIqCy/hS1uJ/wnepSSlihVMLFxA==" saltValue="MnYKZxW4fP/a5LRvuMstk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5" t="s">
        <v>93</v>
      </c>
      <c r="C3" s="75"/>
      <c r="D3" s="1"/>
    </row>
    <row r="4" spans="1:4" ht="25.5" customHeight="1" x14ac:dyDescent="0.25">
      <c r="A4" s="1"/>
      <c r="B4" s="75"/>
      <c r="C4" s="7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55"/>
      <c r="D8" s="1"/>
    </row>
    <row r="9" spans="1:4" x14ac:dyDescent="0.25">
      <c r="A9" s="1"/>
      <c r="B9" s="28" t="s">
        <v>126</v>
      </c>
      <c r="C9" s="21">
        <v>1.2699999999999999E-2</v>
      </c>
      <c r="D9" s="1"/>
    </row>
    <row r="10" spans="1:4" x14ac:dyDescent="0.25">
      <c r="A10" s="1"/>
      <c r="B10" s="28" t="s">
        <v>118</v>
      </c>
      <c r="C10" s="21">
        <v>1.7500000000000002E-2</v>
      </c>
      <c r="D10" s="1"/>
    </row>
    <row r="11" spans="1:4" x14ac:dyDescent="0.25">
      <c r="A11" s="1"/>
      <c r="B11" s="28" t="s">
        <v>22</v>
      </c>
      <c r="C11" s="21">
        <v>1.6899999999999998E-2</v>
      </c>
      <c r="D11" s="1"/>
    </row>
    <row r="12" spans="1:4" x14ac:dyDescent="0.25">
      <c r="A12" s="1"/>
      <c r="B12" s="28" t="s">
        <v>36</v>
      </c>
      <c r="C12" s="21">
        <v>1.9699999999999999E-2</v>
      </c>
      <c r="D12" s="1"/>
    </row>
    <row r="13" spans="1:4" x14ac:dyDescent="0.25">
      <c r="A13" s="1"/>
      <c r="B13" s="30" t="s">
        <v>74</v>
      </c>
      <c r="C13" s="31">
        <v>1.2200000000000001E-2</v>
      </c>
      <c r="D13" s="1"/>
    </row>
    <row r="14" spans="1:4" x14ac:dyDescent="0.25">
      <c r="A14" s="1"/>
      <c r="B14" s="30" t="s">
        <v>119</v>
      </c>
      <c r="C14" s="31">
        <v>3.3E-3</v>
      </c>
      <c r="D14" s="1"/>
    </row>
    <row r="15" spans="1:4" x14ac:dyDescent="0.25">
      <c r="A15" s="1"/>
      <c r="B15" s="54"/>
      <c r="C15" s="55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54</v>
      </c>
      <c r="C18" s="55"/>
      <c r="D18" s="1"/>
    </row>
    <row r="19" spans="1:4" x14ac:dyDescent="0.25">
      <c r="A19" s="1"/>
      <c r="B19" s="28" t="s">
        <v>58</v>
      </c>
      <c r="C19" s="21">
        <v>1.7000000000000001E-2</v>
      </c>
      <c r="D19" s="1"/>
    </row>
    <row r="20" spans="1:4" x14ac:dyDescent="0.25">
      <c r="A20" s="1"/>
      <c r="B20" s="106"/>
      <c r="C20" s="107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ov9K4TldtNfc1yySQQR9VAYmcjC0KmVwRhyXYfsTXA3sHwPixcRoB7dwygY5JUjTlXprjltv1UAi0pXeaDgeUw==" saltValue="mZdA7aslY0rf/E3lHGIat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x14ac:dyDescent="0.25">
      <c r="A9" s="1"/>
      <c r="B9" s="44" t="s">
        <v>24</v>
      </c>
      <c r="C9" s="44"/>
      <c r="D9" s="44"/>
      <c r="E9" s="7">
        <f>'Fane 3. Omkostninger i ØR2021'!E16</f>
        <v>2266288.4454036024</v>
      </c>
      <c r="F9" s="44" t="s">
        <v>3</v>
      </c>
      <c r="G9" s="1"/>
    </row>
    <row r="10" spans="1:7" ht="17.100000000000001" customHeight="1" x14ac:dyDescent="0.25">
      <c r="A10" s="1"/>
      <c r="B10" s="33" t="s">
        <v>121</v>
      </c>
      <c r="C10" s="44"/>
      <c r="D10" s="44"/>
      <c r="E10" s="7">
        <f>'Fane 3. Omkostninger i ØR2021'!E13*(1-'Fane 10. Nøgletal'!C19)*(1+'Fane 10. Nøgletal'!C13)</f>
        <v>0</v>
      </c>
      <c r="F10" s="44" t="s">
        <v>3</v>
      </c>
      <c r="G10" s="1"/>
    </row>
    <row r="11" spans="1:7" ht="17.100000000000001" customHeight="1" x14ac:dyDescent="0.25">
      <c r="A11" s="1"/>
      <c r="B11" s="29" t="s">
        <v>60</v>
      </c>
      <c r="C11" s="44"/>
      <c r="D11" s="44"/>
      <c r="E11" s="7">
        <f>'Fane 7.1. Varige tillæg'!C12+'Fane 7.1. Varige tillæg'!E12</f>
        <v>0</v>
      </c>
      <c r="F11" s="44" t="s">
        <v>3</v>
      </c>
      <c r="G11" s="1"/>
    </row>
    <row r="12" spans="1:7" ht="17.100000000000001" customHeight="1" x14ac:dyDescent="0.25">
      <c r="A12" s="1"/>
      <c r="B12" s="29" t="s">
        <v>62</v>
      </c>
      <c r="C12" s="44"/>
      <c r="D12" s="44"/>
      <c r="E12" s="8">
        <f>-('Fane 9. Bortfald'!C12+'Fane 9. Bortfald'!E12)</f>
        <v>0</v>
      </c>
      <c r="F12" s="44" t="s">
        <v>3</v>
      </c>
      <c r="G12" s="1"/>
    </row>
    <row r="13" spans="1:7" ht="17.100000000000001" customHeight="1" x14ac:dyDescent="0.25">
      <c r="A13" s="1"/>
      <c r="B13" s="29" t="s">
        <v>65</v>
      </c>
      <c r="C13" s="44"/>
      <c r="D13" s="44"/>
      <c r="E13" s="8">
        <f>'Fane 8. Tilknyttet virksomhed'!C12+'Fane 8. Tilknyttet virksomhed'!E12</f>
        <v>0</v>
      </c>
      <c r="F13" s="44" t="s">
        <v>3</v>
      </c>
      <c r="G13" s="1"/>
    </row>
    <row r="14" spans="1:7" ht="17.100000000000001" customHeight="1" x14ac:dyDescent="0.25">
      <c r="A14" s="1"/>
      <c r="B14" s="29" t="s">
        <v>18</v>
      </c>
      <c r="C14" s="44"/>
      <c r="D14" s="44"/>
      <c r="E14" s="8">
        <f>E9*'Fane 10. Nøgletal'!C13+SUM(E11:E13)*'Fane 10. Nøgletal'!C14</f>
        <v>27648.719033923953</v>
      </c>
      <c r="F14" s="44" t="s">
        <v>3</v>
      </c>
      <c r="G14" s="1"/>
    </row>
    <row r="15" spans="1:7" ht="17.100000000000001" customHeight="1" x14ac:dyDescent="0.25">
      <c r="A15" s="1"/>
      <c r="B15" s="29" t="s">
        <v>54</v>
      </c>
      <c r="C15" s="44"/>
      <c r="D15" s="44"/>
      <c r="E15" s="8">
        <f>-SUM(E9,E11:E14)*'Fane 10. Nøgletal'!C19</f>
        <v>-38996.931795437951</v>
      </c>
      <c r="F15" s="44" t="s">
        <v>3</v>
      </c>
      <c r="G15" s="1"/>
    </row>
    <row r="16" spans="1:7" ht="15" customHeight="1" x14ac:dyDescent="0.25">
      <c r="A16" s="1"/>
      <c r="B16" s="51" t="s">
        <v>20</v>
      </c>
      <c r="C16" s="37"/>
      <c r="D16" s="37"/>
      <c r="E16" s="9">
        <f>SUM(E9,E11:E15)</f>
        <v>2254940.2326420886</v>
      </c>
      <c r="F16" s="39" t="s">
        <v>3</v>
      </c>
      <c r="G16" s="1"/>
    </row>
    <row r="17" spans="1:7" ht="15" customHeight="1" x14ac:dyDescent="0.2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25">
      <c r="A18" s="1"/>
      <c r="B18" s="39" t="s">
        <v>12</v>
      </c>
      <c r="C18" s="39"/>
      <c r="D18" s="39"/>
      <c r="E18" s="9">
        <f>'Fane 4. Ikke-påvirkelige omk.'!C13</f>
        <v>2258571.1051068204</v>
      </c>
      <c r="F18" s="39" t="s">
        <v>3</v>
      </c>
      <c r="G18" s="1"/>
    </row>
    <row r="19" spans="1:7" ht="15" customHeight="1" x14ac:dyDescent="0.25">
      <c r="A19" s="1"/>
      <c r="B19" s="38" t="s">
        <v>42</v>
      </c>
      <c r="C19" s="38"/>
      <c r="D19" s="38"/>
      <c r="E19" s="38"/>
      <c r="F19" s="38"/>
      <c r="G19" s="1"/>
    </row>
    <row r="20" spans="1:7" ht="15" customHeight="1" x14ac:dyDescent="0.25">
      <c r="A20" s="1"/>
      <c r="B20" s="29" t="s">
        <v>39</v>
      </c>
      <c r="C20" s="44"/>
      <c r="D20" s="44"/>
      <c r="E20" s="8">
        <f>'Fane 7.2. Engangstillæg'!C13</f>
        <v>0</v>
      </c>
      <c r="F20" s="44" t="s">
        <v>3</v>
      </c>
      <c r="G20" s="1"/>
    </row>
    <row r="21" spans="1:7" x14ac:dyDescent="0.25">
      <c r="A21" s="1"/>
      <c r="B21" s="29" t="s">
        <v>40</v>
      </c>
      <c r="C21" s="44"/>
      <c r="D21" s="44"/>
      <c r="E21" s="8">
        <f>'Fane 7.2. Engangstillæg'!E13</f>
        <v>0</v>
      </c>
      <c r="F21" s="44" t="s">
        <v>3</v>
      </c>
      <c r="G21" s="1"/>
    </row>
    <row r="22" spans="1:7" ht="15" customHeight="1" x14ac:dyDescent="0.25">
      <c r="A22" s="1"/>
      <c r="B22" s="51" t="s">
        <v>43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25">
      <c r="A23" s="1"/>
      <c r="B23" s="38" t="s">
        <v>85</v>
      </c>
      <c r="C23" s="38"/>
      <c r="D23" s="38"/>
      <c r="E23" s="38"/>
      <c r="F23" s="38"/>
      <c r="G23" s="1"/>
    </row>
    <row r="24" spans="1:7" x14ac:dyDescent="0.25">
      <c r="A24" s="1"/>
      <c r="B24" s="51" t="s">
        <v>31</v>
      </c>
      <c r="C24" s="37"/>
      <c r="D24" s="37"/>
      <c r="E24" s="9">
        <v>-418185.76115074346</v>
      </c>
      <c r="F24" s="39" t="s">
        <v>3</v>
      </c>
      <c r="G24" s="1"/>
    </row>
    <row r="25" spans="1:7" x14ac:dyDescent="0.25">
      <c r="A25" s="1"/>
      <c r="B25" s="51" t="s">
        <v>86</v>
      </c>
      <c r="C25" s="37"/>
      <c r="D25" s="37"/>
      <c r="E25" s="9">
        <f>'Fane 5. Kontrol af ØR2020'!E29</f>
        <v>-84292.790781782009</v>
      </c>
      <c r="F25" s="39" t="s">
        <v>3</v>
      </c>
      <c r="G25" s="1"/>
    </row>
    <row r="26" spans="1:7" x14ac:dyDescent="0.25">
      <c r="A26" s="1"/>
      <c r="B26" s="38" t="s">
        <v>144</v>
      </c>
      <c r="C26" s="38"/>
      <c r="D26" s="38"/>
      <c r="E26" s="38"/>
      <c r="F26" s="38"/>
      <c r="G26" s="1"/>
    </row>
    <row r="27" spans="1:7" x14ac:dyDescent="0.25">
      <c r="A27" s="1"/>
      <c r="B27" s="39" t="s">
        <v>145</v>
      </c>
      <c r="C27" s="39"/>
      <c r="D27" s="39"/>
      <c r="E27" s="9">
        <v>0</v>
      </c>
      <c r="F27" s="39" t="s">
        <v>3</v>
      </c>
      <c r="G27" s="1"/>
    </row>
    <row r="28" spans="1:7" x14ac:dyDescent="0.25">
      <c r="A28" s="1"/>
      <c r="B28" s="38" t="s">
        <v>26</v>
      </c>
      <c r="C28" s="38"/>
      <c r="D28" s="38"/>
      <c r="E28" s="10">
        <f>SUM(E16,E18,E22,E24,E25,E27)</f>
        <v>4011032.785816384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iPd8k9NSCyIqxvxK/t1Gap0jMUugscSbB4UUTsCY6jVbpcR2C4EfMYtO3aZNBqANsJV1tyLFsrbhJOEOjDi8BQ==" saltValue="z36pwPKIs84KDqBrUQ9wT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101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66</v>
      </c>
      <c r="C8" s="44"/>
      <c r="D8" s="44"/>
      <c r="E8" s="7">
        <f>'Fane 2.1. Økonomisk ramme 2022'!E16</f>
        <v>2254940.2326420886</v>
      </c>
      <c r="F8" s="44" t="s">
        <v>3</v>
      </c>
      <c r="G8" s="1"/>
    </row>
    <row r="9" spans="1:7" ht="15" customHeight="1" x14ac:dyDescent="0.25">
      <c r="A9" s="1"/>
      <c r="B9" s="29" t="s">
        <v>62</v>
      </c>
      <c r="C9" s="44"/>
      <c r="D9" s="44"/>
      <c r="E9" s="7">
        <f>-('Fane 9. Bortfald'!C18+'Fane 9. Bortfald'!E18)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7441.302767718892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-38460.486101966722</v>
      </c>
      <c r="F11" s="44" t="s">
        <v>3</v>
      </c>
      <c r="G11" s="1"/>
    </row>
    <row r="12" spans="1:7" ht="15" customHeight="1" x14ac:dyDescent="0.25">
      <c r="A12" s="1"/>
      <c r="B12" s="37" t="s">
        <v>20</v>
      </c>
      <c r="C12" s="37"/>
      <c r="D12" s="37"/>
      <c r="E12" s="9">
        <f>SUM(E8:E11)</f>
        <v>2223921.0493078404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omk.'!C13*(1+'Fane 10. Nøgletal'!C14)</f>
        <v>2266024.3897536732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Engangstillæg'!C20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Engangstillæg'!E20</f>
        <v>0</v>
      </c>
      <c r="F17" s="44" t="s">
        <v>3</v>
      </c>
      <c r="G17" s="1"/>
    </row>
    <row r="18" spans="1:7" ht="15" customHeight="1" x14ac:dyDescent="0.25">
      <c r="A18" s="1"/>
      <c r="B18" s="51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x14ac:dyDescent="0.25">
      <c r="A19" s="1"/>
      <c r="B19" s="38" t="s">
        <v>85</v>
      </c>
      <c r="C19" s="38"/>
      <c r="D19" s="38"/>
      <c r="E19" s="38"/>
      <c r="F19" s="38"/>
      <c r="G19" s="1"/>
    </row>
    <row r="20" spans="1:7" x14ac:dyDescent="0.25">
      <c r="A20" s="1"/>
      <c r="B20" s="39" t="s">
        <v>146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25">
      <c r="A21" s="1"/>
      <c r="B21" s="38" t="s">
        <v>47</v>
      </c>
      <c r="C21" s="38"/>
      <c r="D21" s="38"/>
      <c r="E21" s="10">
        <f>SUM(E12,E14,E18,E20)</f>
        <v>4489945.4390615132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t5HNxVntuPUfGCc3asoXaCwdCDGRrodE5YMRtcEf2rSJ3aHEYBhdEHZ9uI/kUcCqZy88qmwjClLDdzrsou3CA==" saltValue="itWfKY8q7EnLB+1U9tGCK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67</v>
      </c>
      <c r="C8" s="44"/>
      <c r="D8" s="44"/>
      <c r="E8" s="7">
        <f>'Fane 2.2. Økonomisk ramme 2023'!E12</f>
        <v>2223921.0493078404</v>
      </c>
      <c r="F8" s="44" t="s">
        <v>3</v>
      </c>
      <c r="G8" s="1"/>
    </row>
    <row r="9" spans="1:7" ht="15" customHeight="1" x14ac:dyDescent="0.25">
      <c r="A9" s="1"/>
      <c r="B9" s="44" t="s">
        <v>62</v>
      </c>
      <c r="C9" s="44"/>
      <c r="D9" s="44"/>
      <c r="E9" s="7">
        <f>-('Fane 9. Bortfald'!C24+'Fane 9. Bortfald'!E24)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7338.9394627158736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-37931.419809099454</v>
      </c>
      <c r="F11" s="44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2193328.5689614569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omk.'!C13*(1+'Fane 10. Nøgletal'!C14)^2</f>
        <v>2273502.2702398603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Engangstillæg'!C27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Engangstillæg'!E27</f>
        <v>0</v>
      </c>
      <c r="F17" s="44" t="s">
        <v>3</v>
      </c>
      <c r="G17" s="1"/>
    </row>
    <row r="18" spans="1:7" ht="15" customHeight="1" x14ac:dyDescent="0.25">
      <c r="A18" s="1"/>
      <c r="B18" s="51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25">
      <c r="A20" s="1"/>
      <c r="B20" s="39" t="s">
        <v>86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25">
      <c r="A21" s="1"/>
      <c r="B21" s="38" t="s">
        <v>68</v>
      </c>
      <c r="C21" s="38"/>
      <c r="D21" s="38"/>
      <c r="E21" s="10">
        <f>SUM(E12,E14,E18,E20)</f>
        <v>4466830.8392013172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7mVw5mI5ZydxcqlhgRKa9VVcE5xbPRA3JmME968VljRQpCLSRr7TAPw0Ll33B2vWb8damgtwTaXMIshycDXtkA==" saltValue="bq72pbQdhms8h8g0VMjPd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74" t="s">
        <v>21</v>
      </c>
      <c r="C5" s="74"/>
      <c r="D5" s="74"/>
      <c r="E5" s="74"/>
      <c r="F5" s="7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44" t="s">
        <v>103</v>
      </c>
      <c r="C8" s="44"/>
      <c r="D8" s="44"/>
      <c r="E8" s="7">
        <f>'Fane 2.3. Økonomisk ramme 2024'!E12</f>
        <v>2193328.5689614569</v>
      </c>
      <c r="F8" s="44" t="s">
        <v>3</v>
      </c>
      <c r="G8" s="1"/>
    </row>
    <row r="9" spans="1:7" ht="15" customHeight="1" x14ac:dyDescent="0.25">
      <c r="A9" s="1"/>
      <c r="B9" s="44" t="s">
        <v>62</v>
      </c>
      <c r="C9" s="44"/>
      <c r="D9" s="44"/>
      <c r="E9" s="7">
        <f>-('Fane 9. Bortfald'!C30+'Fane 9. Bortfald'!E30)</f>
        <v>0</v>
      </c>
      <c r="F9" s="44" t="s">
        <v>3</v>
      </c>
      <c r="G9" s="1"/>
    </row>
    <row r="10" spans="1:7" ht="15" customHeight="1" x14ac:dyDescent="0.25">
      <c r="A10" s="1"/>
      <c r="B10" s="36" t="s">
        <v>18</v>
      </c>
      <c r="C10" s="44"/>
      <c r="D10" s="44"/>
      <c r="E10" s="8">
        <f>SUM(E8:E9)*'Fane 10. Nøgletal'!C14</f>
        <v>7237.9842775728075</v>
      </c>
      <c r="F10" s="44" t="s">
        <v>3</v>
      </c>
      <c r="G10" s="1"/>
    </row>
    <row r="11" spans="1:7" ht="15" customHeight="1" x14ac:dyDescent="0.25">
      <c r="A11" s="1"/>
      <c r="B11" s="36" t="s">
        <v>54</v>
      </c>
      <c r="C11" s="44"/>
      <c r="D11" s="44"/>
      <c r="E11" s="8">
        <f>-SUM(E8:E10)*'Fane 10. Nøgletal'!C19</f>
        <v>-37409.631405063512</v>
      </c>
      <c r="F11" s="44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2163156.9218339664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omk.'!C13*(1+'Fane 10. Nøgletal'!C14)^3</f>
        <v>2281004.8277316522</v>
      </c>
      <c r="F14" s="39" t="s">
        <v>3</v>
      </c>
      <c r="G14" s="1"/>
    </row>
    <row r="15" spans="1:7" ht="15" customHeight="1" x14ac:dyDescent="0.2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9" t="s">
        <v>39</v>
      </c>
      <c r="C16" s="44"/>
      <c r="D16" s="44"/>
      <c r="E16" s="8">
        <f>'Fane 7.2. Engangstillæg'!C34</f>
        <v>0</v>
      </c>
      <c r="F16" s="44" t="s">
        <v>3</v>
      </c>
      <c r="G16" s="1"/>
    </row>
    <row r="17" spans="1:7" ht="15" customHeight="1" x14ac:dyDescent="0.25">
      <c r="A17" s="1"/>
      <c r="B17" s="29" t="s">
        <v>40</v>
      </c>
      <c r="C17" s="44"/>
      <c r="D17" s="44"/>
      <c r="E17" s="8">
        <f>'Fane 7.2. Engangstillæg'!E34</f>
        <v>0</v>
      </c>
      <c r="F17" s="44" t="s">
        <v>3</v>
      </c>
      <c r="G17" s="1"/>
    </row>
    <row r="18" spans="1:7" ht="15" customHeight="1" x14ac:dyDescent="0.25">
      <c r="A18" s="1"/>
      <c r="B18" s="51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25">
      <c r="A20" s="1"/>
      <c r="B20" s="39" t="s">
        <v>86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25">
      <c r="A21" s="1"/>
      <c r="B21" s="38" t="s">
        <v>104</v>
      </c>
      <c r="C21" s="38"/>
      <c r="D21" s="38"/>
      <c r="E21" s="10">
        <f>SUM(E12,E14,E18,E20)</f>
        <v>4444161.7495656181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fTqRf8fWVTxkW6E5lBfs017SZ/K3ADz6yh5nyW6jghcbZSNnaQIweaDMs3Jw9TU0zYlW0DUqaF/8oxAanUaoYw==" saltValue="DLnlbDPJJSUl7t2ye/ULC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125</v>
      </c>
      <c r="C8" s="38"/>
      <c r="D8" s="38"/>
      <c r="E8" s="38"/>
      <c r="F8" s="38"/>
      <c r="G8" s="1"/>
    </row>
    <row r="9" spans="1:7" x14ac:dyDescent="0.25">
      <c r="A9" s="1"/>
      <c r="B9" s="76" t="s">
        <v>23</v>
      </c>
      <c r="C9" s="76"/>
      <c r="D9" s="76"/>
      <c r="E9" s="7">
        <v>2260192.3281365302</v>
      </c>
      <c r="F9" s="44" t="s">
        <v>3</v>
      </c>
      <c r="G9" s="1"/>
    </row>
    <row r="10" spans="1:7" x14ac:dyDescent="0.25">
      <c r="A10" s="1"/>
      <c r="B10" s="77" t="s">
        <v>127</v>
      </c>
      <c r="C10" s="77"/>
      <c r="D10" s="77"/>
      <c r="E10" s="7">
        <v>17501.441046881169</v>
      </c>
      <c r="F10" s="44" t="s">
        <v>3</v>
      </c>
      <c r="G10" s="1"/>
    </row>
    <row r="11" spans="1:7" x14ac:dyDescent="0.25">
      <c r="A11" s="1"/>
      <c r="B11" s="77" t="s">
        <v>60</v>
      </c>
      <c r="C11" s="77"/>
      <c r="D11" s="77"/>
      <c r="E11" s="7">
        <v>0</v>
      </c>
      <c r="F11" s="44" t="s">
        <v>3</v>
      </c>
      <c r="G11" s="1"/>
    </row>
    <row r="12" spans="1:7" x14ac:dyDescent="0.25">
      <c r="A12" s="1"/>
      <c r="B12" s="77" t="s">
        <v>65</v>
      </c>
      <c r="C12" s="77"/>
      <c r="D12" s="77"/>
      <c r="E12" s="7">
        <v>0</v>
      </c>
      <c r="F12" s="44" t="s">
        <v>3</v>
      </c>
      <c r="G12" s="1"/>
    </row>
    <row r="13" spans="1:7" x14ac:dyDescent="0.25">
      <c r="A13" s="1"/>
      <c r="B13" s="77" t="s">
        <v>61</v>
      </c>
      <c r="C13" s="77"/>
      <c r="D13" s="77"/>
      <c r="E13" s="8">
        <v>0</v>
      </c>
      <c r="F13" s="44" t="s">
        <v>3</v>
      </c>
      <c r="G13" s="1"/>
    </row>
    <row r="14" spans="1:7" x14ac:dyDescent="0.25">
      <c r="A14" s="1"/>
      <c r="B14" s="77" t="s">
        <v>18</v>
      </c>
      <c r="C14" s="77"/>
      <c r="D14" s="77"/>
      <c r="E14" s="8">
        <f>SUM(E9:E13)*'Fane 10. Nøgletal'!C13</f>
        <v>27787.86398403762</v>
      </c>
      <c r="F14" s="44" t="s">
        <v>3</v>
      </c>
      <c r="G14" s="1"/>
    </row>
    <row r="15" spans="1:7" x14ac:dyDescent="0.25">
      <c r="A15" s="1"/>
      <c r="B15" s="77" t="s">
        <v>54</v>
      </c>
      <c r="C15" s="77"/>
      <c r="D15" s="77"/>
      <c r="E15" s="8">
        <f>-SUM(E9:E14)*'Fane 10. Nøgletal'!C19</f>
        <v>-39193.187763846632</v>
      </c>
      <c r="F15" s="44" t="s">
        <v>3</v>
      </c>
      <c r="G15" s="1"/>
    </row>
    <row r="16" spans="1:7" x14ac:dyDescent="0.25">
      <c r="A16" s="1"/>
      <c r="B16" s="79" t="s">
        <v>20</v>
      </c>
      <c r="C16" s="79"/>
      <c r="D16" s="79"/>
      <c r="E16" s="9">
        <f>SUM(E9:E15)</f>
        <v>2266288.4454036024</v>
      </c>
      <c r="F16" s="39" t="s">
        <v>3</v>
      </c>
      <c r="G16" s="1"/>
    </row>
    <row r="17" spans="1:7" x14ac:dyDescent="0.25">
      <c r="A17" s="1"/>
      <c r="B17" s="80" t="s">
        <v>12</v>
      </c>
      <c r="C17" s="80"/>
      <c r="D17" s="80"/>
      <c r="E17" s="38"/>
      <c r="F17" s="38"/>
      <c r="G17" s="1"/>
    </row>
    <row r="18" spans="1:7" x14ac:dyDescent="0.25">
      <c r="A18" s="1"/>
      <c r="B18" s="81" t="s">
        <v>12</v>
      </c>
      <c r="C18" s="81"/>
      <c r="D18" s="81"/>
      <c r="E18" s="9">
        <v>2431744.1316655199</v>
      </c>
      <c r="F18" s="39" t="s">
        <v>3</v>
      </c>
      <c r="G18" s="1"/>
    </row>
    <row r="19" spans="1:7" ht="15.4" customHeight="1" x14ac:dyDescent="0.25">
      <c r="A19" s="1"/>
      <c r="B19" s="38" t="s">
        <v>42</v>
      </c>
      <c r="C19" s="38"/>
      <c r="D19" s="38"/>
      <c r="E19" s="38"/>
      <c r="F19" s="38"/>
      <c r="G19" s="1"/>
    </row>
    <row r="20" spans="1:7" ht="15.75" customHeight="1" x14ac:dyDescent="0.25">
      <c r="A20" s="1"/>
      <c r="B20" s="82" t="s">
        <v>39</v>
      </c>
      <c r="C20" s="83"/>
      <c r="D20" s="84"/>
      <c r="E20" s="35">
        <v>0</v>
      </c>
      <c r="F20" s="32" t="s">
        <v>3</v>
      </c>
      <c r="G20" s="1"/>
    </row>
    <row r="21" spans="1:7" x14ac:dyDescent="0.25">
      <c r="A21" s="1"/>
      <c r="B21" s="82" t="s">
        <v>40</v>
      </c>
      <c r="C21" s="83"/>
      <c r="D21" s="84"/>
      <c r="E21" s="35">
        <v>0</v>
      </c>
      <c r="F21" s="32" t="s">
        <v>3</v>
      </c>
      <c r="G21" s="1"/>
    </row>
    <row r="22" spans="1:7" x14ac:dyDescent="0.2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25">
      <c r="A23" s="1"/>
      <c r="B23" s="38" t="s">
        <v>85</v>
      </c>
      <c r="C23" s="38"/>
      <c r="D23" s="38"/>
      <c r="E23" s="38"/>
      <c r="F23" s="38"/>
      <c r="G23" s="1"/>
    </row>
    <row r="24" spans="1:7" x14ac:dyDescent="0.25">
      <c r="A24" s="1"/>
      <c r="B24" s="51" t="s">
        <v>31</v>
      </c>
      <c r="C24" s="37"/>
      <c r="D24" s="37"/>
      <c r="E24" s="9">
        <v>-418185.76115074346</v>
      </c>
      <c r="F24" s="39" t="s">
        <v>3</v>
      </c>
      <c r="G24" s="1"/>
    </row>
    <row r="25" spans="1:7" x14ac:dyDescent="0.25">
      <c r="A25" s="1"/>
      <c r="B25" s="51" t="s">
        <v>86</v>
      </c>
      <c r="C25" s="37"/>
      <c r="D25" s="37"/>
      <c r="E25" s="9">
        <v>-142707.62581689656</v>
      </c>
      <c r="F25" s="39" t="s">
        <v>3</v>
      </c>
      <c r="G25" s="1"/>
    </row>
    <row r="26" spans="1:7" ht="15" customHeight="1" x14ac:dyDescent="0.25">
      <c r="A26" s="1"/>
      <c r="B26" s="38" t="s">
        <v>25</v>
      </c>
      <c r="C26" s="38"/>
      <c r="D26" s="38"/>
      <c r="E26" s="10">
        <f>E16+E18+E22+E24+E25</f>
        <v>4137139.190101482</v>
      </c>
      <c r="F26" s="11" t="s">
        <v>3</v>
      </c>
      <c r="G26" s="1"/>
    </row>
    <row r="27" spans="1:7" ht="27" customHeight="1" x14ac:dyDescent="0.25">
      <c r="A27" s="1"/>
      <c r="B27" s="78" t="s">
        <v>120</v>
      </c>
      <c r="C27" s="78"/>
      <c r="D27" s="78"/>
      <c r="E27" s="78"/>
      <c r="F27" s="78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B54" s="1"/>
      <c r="C54" s="1"/>
      <c r="D54" s="1"/>
      <c r="E54" s="1"/>
      <c r="F54" s="1"/>
    </row>
  </sheetData>
  <sheetProtection algorithmName="SHA-512" hashValue="VbJnBrqop/klOJyP8Pks/psm8vc9/gNEdiUrPwFGZB7xaAZTFGgP8MZC4fds49R0pQHlhE6akAouYwgQ19vvQQ==" saltValue="E2A3RV85kb017xOk0Vodo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53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107</v>
      </c>
      <c r="C8" s="89"/>
      <c r="D8" s="90"/>
      <c r="E8" s="1"/>
      <c r="F8" s="1"/>
    </row>
    <row r="9" spans="1:6" ht="15" customHeight="1" x14ac:dyDescent="0.25">
      <c r="A9" s="1"/>
      <c r="B9" s="17" t="s">
        <v>29</v>
      </c>
      <c r="C9" s="39" t="s">
        <v>106</v>
      </c>
      <c r="D9" s="39"/>
      <c r="E9" s="1"/>
      <c r="F9" s="1"/>
    </row>
    <row r="10" spans="1:6" ht="15" customHeight="1" x14ac:dyDescent="0.25">
      <c r="A10" s="1"/>
      <c r="B10" s="28" t="s">
        <v>150</v>
      </c>
      <c r="C10" s="8">
        <v>2236462</v>
      </c>
      <c r="D10" s="12" t="s">
        <v>3</v>
      </c>
      <c r="E10" s="1"/>
      <c r="F10" s="1"/>
    </row>
    <row r="11" spans="1:6" x14ac:dyDescent="0.25">
      <c r="A11" s="1"/>
      <c r="B11" s="28" t="s">
        <v>151</v>
      </c>
      <c r="C11" s="8">
        <v>7276</v>
      </c>
      <c r="D11" s="12" t="s">
        <v>3</v>
      </c>
      <c r="E11" s="1"/>
      <c r="F11" s="1"/>
    </row>
    <row r="12" spans="1:6" x14ac:dyDescent="0.25">
      <c r="A12" s="1"/>
      <c r="B12" s="54" t="s">
        <v>108</v>
      </c>
      <c r="C12" s="10">
        <f>SUM(C10:C11)</f>
        <v>2243738</v>
      </c>
      <c r="D12" s="11" t="s">
        <v>3</v>
      </c>
      <c r="E12" s="1"/>
      <c r="F12" s="1"/>
    </row>
    <row r="13" spans="1:6" x14ac:dyDescent="0.25">
      <c r="A13" s="1"/>
      <c r="B13" s="54" t="s">
        <v>109</v>
      </c>
      <c r="C13" s="10">
        <f>C12*(1+'Fane 10. Nøgletal'!C14)^2</f>
        <v>2258571.1051068204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2wPai72fFVQC9k3ewMIQ7p68tPS0yigx6UELsTjiqKovp31IUtE1ZGVlg81L4LQRs/fCPLkNA2slBu+KoLLstw==" saltValue="BJ6arj36eC2z+qJP9h1vYQ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5" t="s">
        <v>130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43"/>
      <c r="C6" s="43"/>
      <c r="D6" s="43"/>
      <c r="E6" s="43"/>
      <c r="F6" s="4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131</v>
      </c>
      <c r="C8" s="89"/>
      <c r="D8" s="89"/>
      <c r="E8" s="89"/>
      <c r="F8" s="90"/>
      <c r="G8" s="1"/>
    </row>
    <row r="9" spans="1:7" x14ac:dyDescent="0.25">
      <c r="A9" s="1"/>
      <c r="B9" s="98" t="s">
        <v>132</v>
      </c>
      <c r="C9" s="99"/>
      <c r="D9" s="100"/>
      <c r="E9" s="8">
        <v>-129222.78916006722</v>
      </c>
      <c r="F9" s="12" t="s">
        <v>3</v>
      </c>
      <c r="G9" s="1"/>
    </row>
    <row r="10" spans="1:7" x14ac:dyDescent="0.25">
      <c r="A10" s="1"/>
      <c r="B10" s="98" t="s">
        <v>133</v>
      </c>
      <c r="C10" s="99"/>
      <c r="D10" s="100"/>
      <c r="E10" s="8">
        <v>58461.5375262741</v>
      </c>
      <c r="F10" s="12" t="s">
        <v>3</v>
      </c>
      <c r="G10" s="1"/>
    </row>
    <row r="11" spans="1:7" x14ac:dyDescent="0.25">
      <c r="A11" s="1"/>
      <c r="B11" s="98" t="s">
        <v>134</v>
      </c>
      <c r="C11" s="99"/>
      <c r="D11" s="100"/>
      <c r="E11" s="8">
        <v>-214654.36689041927</v>
      </c>
      <c r="F11" s="12" t="s">
        <v>3</v>
      </c>
      <c r="G11" s="1"/>
    </row>
    <row r="12" spans="1:7" x14ac:dyDescent="0.25">
      <c r="A12" s="1"/>
      <c r="B12" s="54"/>
      <c r="C12" s="22"/>
      <c r="D12" s="22"/>
      <c r="E12" s="22"/>
      <c r="F12" s="55"/>
      <c r="G12" s="1"/>
    </row>
    <row r="13" spans="1:7" ht="51.75" customHeight="1" x14ac:dyDescent="0.25">
      <c r="A13" s="1"/>
      <c r="B13" s="101" t="s">
        <v>135</v>
      </c>
      <c r="C13" s="102"/>
      <c r="D13" s="102"/>
      <c r="E13" s="102"/>
      <c r="F13" s="103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8" t="s">
        <v>136</v>
      </c>
      <c r="C15" s="89"/>
      <c r="D15" s="89"/>
      <c r="E15" s="89"/>
      <c r="F15" s="90"/>
      <c r="G15" s="1"/>
    </row>
    <row r="16" spans="1:7" x14ac:dyDescent="0.25">
      <c r="A16" s="1"/>
      <c r="B16" s="98" t="s">
        <v>137</v>
      </c>
      <c r="C16" s="99"/>
      <c r="D16" s="100"/>
      <c r="E16" s="8">
        <v>-142707.62581689656</v>
      </c>
      <c r="F16" s="12" t="s">
        <v>3</v>
      </c>
      <c r="G16" s="1"/>
    </row>
    <row r="17" spans="1:7" x14ac:dyDescent="0.25">
      <c r="A17" s="1"/>
      <c r="B17" s="98" t="s">
        <v>138</v>
      </c>
      <c r="C17" s="99"/>
      <c r="D17" s="100"/>
      <c r="E17" s="8">
        <v>-142707.62581689656</v>
      </c>
      <c r="F17" s="12" t="s">
        <v>3</v>
      </c>
      <c r="G17" s="1"/>
    </row>
    <row r="18" spans="1:7" x14ac:dyDescent="0.25">
      <c r="A18" s="1"/>
      <c r="B18" s="54"/>
      <c r="C18" s="22"/>
      <c r="D18" s="22"/>
      <c r="E18" s="22"/>
      <c r="F18" s="55"/>
      <c r="G18" s="1"/>
    </row>
    <row r="19" spans="1:7" ht="29.25" customHeight="1" x14ac:dyDescent="0.25">
      <c r="A19" s="1"/>
      <c r="B19" s="101" t="s">
        <v>139</v>
      </c>
      <c r="C19" s="102"/>
      <c r="D19" s="102"/>
      <c r="E19" s="102"/>
      <c r="F19" s="103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45" t="s">
        <v>122</v>
      </c>
      <c r="C21" s="46"/>
      <c r="D21" s="46"/>
      <c r="E21" s="46"/>
      <c r="F21" s="47"/>
      <c r="G21" s="1"/>
    </row>
    <row r="22" spans="1:7" x14ac:dyDescent="0.25">
      <c r="A22" s="1"/>
      <c r="B22" s="48" t="s">
        <v>123</v>
      </c>
      <c r="C22" s="49"/>
      <c r="D22" s="50"/>
      <c r="E22" s="8">
        <v>4721910.7851469908</v>
      </c>
      <c r="F22" s="12" t="s">
        <v>3</v>
      </c>
      <c r="G22" s="1"/>
    </row>
    <row r="23" spans="1:7" x14ac:dyDescent="0.25">
      <c r="A23" s="1"/>
      <c r="B23" s="48" t="s">
        <v>149</v>
      </c>
      <c r="C23" s="49"/>
      <c r="D23" s="50"/>
      <c r="E23" s="8">
        <v>4663495.7666666666</v>
      </c>
      <c r="F23" s="12" t="s">
        <v>3</v>
      </c>
      <c r="G23" s="1"/>
    </row>
    <row r="24" spans="1:7" x14ac:dyDescent="0.2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25">
      <c r="A25" s="1"/>
      <c r="B25" s="40" t="s">
        <v>124</v>
      </c>
      <c r="C25" s="41"/>
      <c r="D25" s="42"/>
      <c r="E25" s="34">
        <f>E22-(E23-E24)</f>
        <v>58415.018480324186</v>
      </c>
      <c r="F25" s="15" t="s">
        <v>3</v>
      </c>
      <c r="G25" s="1"/>
    </row>
    <row r="26" spans="1:7" x14ac:dyDescent="0.25">
      <c r="A26" s="1"/>
      <c r="B26" s="54"/>
      <c r="C26" s="22"/>
      <c r="D26" s="22"/>
      <c r="E26" s="22"/>
      <c r="F26" s="55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88" t="s">
        <v>140</v>
      </c>
      <c r="C28" s="89"/>
      <c r="D28" s="89"/>
      <c r="E28" s="89"/>
      <c r="F28" s="90"/>
      <c r="G28" s="1"/>
    </row>
    <row r="29" spans="1:7" x14ac:dyDescent="0.25">
      <c r="A29" s="1"/>
      <c r="B29" s="85" t="s">
        <v>141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-84292.790781782009</v>
      </c>
      <c r="F29" s="15" t="s">
        <v>3</v>
      </c>
      <c r="G29" s="1"/>
    </row>
    <row r="30" spans="1:7" x14ac:dyDescent="0.25">
      <c r="A30" s="1"/>
      <c r="B30" s="88"/>
      <c r="C30" s="89"/>
      <c r="D30" s="89"/>
      <c r="E30" s="89"/>
      <c r="F30" s="90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142</v>
      </c>
      <c r="C32" s="89"/>
      <c r="D32" s="89"/>
      <c r="E32" s="89"/>
      <c r="F32" s="90"/>
      <c r="G32" s="1"/>
    </row>
    <row r="33" spans="1:7" x14ac:dyDescent="0.25">
      <c r="A33" s="1"/>
      <c r="B33" s="94" t="s">
        <v>85</v>
      </c>
      <c r="C33" s="95"/>
      <c r="D33" s="96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25">
      <c r="A34" s="1"/>
      <c r="B34" s="94" t="s">
        <v>55</v>
      </c>
      <c r="C34" s="95"/>
      <c r="D34" s="96"/>
      <c r="E34" s="8">
        <v>4</v>
      </c>
      <c r="F34" s="12" t="s">
        <v>19</v>
      </c>
      <c r="G34" s="1"/>
    </row>
    <row r="35" spans="1:7" x14ac:dyDescent="0.25">
      <c r="A35" s="1"/>
      <c r="B35" s="97" t="s">
        <v>143</v>
      </c>
      <c r="C35" s="97"/>
      <c r="D35" s="97"/>
      <c r="E35" s="9">
        <f>E33/E34</f>
        <v>0</v>
      </c>
      <c r="F35" s="15" t="s">
        <v>3</v>
      </c>
      <c r="G35" s="1"/>
    </row>
    <row r="36" spans="1:7" x14ac:dyDescent="0.25">
      <c r="A36" s="1"/>
      <c r="B36" s="91"/>
      <c r="C36" s="92"/>
      <c r="D36" s="92"/>
      <c r="E36" s="92"/>
      <c r="F36" s="93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5jZbv21dl2KtaBHqzl1G7m+i55ugqcbPHzAkt2zDEtsG9xf6DsfLqPsCvZtEa6GJ0Yf2WrTETt/hdbht2VLoww==" saltValue="hqQfKsl0LZ40ssmS84B4g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  <mergeCell ref="B36:F36"/>
    <mergeCell ref="B34:D34"/>
    <mergeCell ref="B33:D33"/>
    <mergeCell ref="B32:F32"/>
    <mergeCell ref="B35:D3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27</v>
      </c>
      <c r="H9" s="53"/>
      <c r="I9" s="1"/>
    </row>
    <row r="10" spans="1:9" x14ac:dyDescent="0.25">
      <c r="A10" s="1"/>
      <c r="B10" s="56" t="s">
        <v>147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am6inTD53BO7lrZG2mbGl8eX+6bqNmh+DhTMg37u1P/JF3YfMCCYJ5qO8Ntl84zQ/3zntn6hb8AzK9uZVSfmA==" saltValue="NbGD3Q99L4kgFThrT+/EI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2021-09-15T14:31:29Z</dcterms:modified>
</cp:coreProperties>
</file>