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axe Spildevandscenter AS (S01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E28" i="32" l="1"/>
  <c r="C20" i="23" l="1"/>
  <c r="C20" i="22"/>
  <c r="C20" i="15"/>
  <c r="C32" i="2"/>
  <c r="E24" i="32" l="1"/>
  <c r="E32" i="32" s="1"/>
  <c r="E34" i="32" s="1"/>
  <c r="C13" i="19"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<sst xmlns="http://schemas.openxmlformats.org/spreadsheetml/2006/main" count="605" uniqueCount="287">
  <si>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</si>
  <si>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</si>
  <si>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</si>
  <si>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</si>
  <si>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</si>
  <si>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</si>
  <si>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</si>
  <si>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</si>
  <si>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</si>
  <si>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</si>
  <si>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</si>
  <si>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</si>
  <si>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</si>
  <si>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</si>
  <si>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</si>
  <si>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</si>
  <si>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</si>
  <si>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</si>
  <si>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</si>
  <si>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</si>
  <si>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</si>
  <si>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</si>
  <si>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</si>
  <si>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</si>
  <si>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</si>
  <si>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</si>
  <si>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</si>
  <si>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</si>
  <si>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</si>
  <si>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</si>
  <si>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</si>
  <si>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</si>
  <si>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</si>
  <si>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</si>
  <si>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</si>
  <si>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</si>
  <si>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</si>
  <si>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</si>
  <si>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</si>
  <si>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</si>
  <si>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</si>
  <si>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</si>
  <si>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</si>
  <si>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</si>
  <si>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</si>
  <si>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</si>
  <si>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</si>
  <si>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</si>
  <si>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</si>
  <si>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</si>
  <si>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</si>
  <si>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</si>
  <si>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</si>
  <si>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</si>
  <si>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</si>
  <si>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</si>
  <si>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</si>
  <si>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</si>
  <si>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</si>
  <si>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</si>
  <si>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</si>
  <si>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</si>
  <si>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</si>
  <si>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</si>
  <si>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</si>
  <si>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</si>
  <si>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</si>
  <si>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</si>
  <si>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</si>
  <si>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</si>
  <si>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</si>
  <si>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</si>
  <si>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</si>
  <si>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</si>
  <si>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</si>
  <si>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</si>
  <si>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</si>
  <si>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</si>
  <si>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</si>
  <si>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</si>
  <si>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</si>
  <si>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</si>
  <si>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</si>
  <si>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</si>
  <si>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</si>
  <si>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</si>
  <si>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</si>
  <si>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</si>
  <si>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</si>
  <si>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</si>
  <si>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</si>
  <si>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</si>
  <si>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</si>
  <si>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</si>
  <si>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</si>
  <si>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</si>
  <si>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</si>
  <si>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</si>
  <si>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</si>
  <si>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</si>
  <si>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</si>
  <si>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</si>
  <si>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</si>
  <si>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</si>
  <si>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</si>
  <si>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</si>
  <si>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</si>
  <si>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</si>
  <si>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</si>
  <si>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</si>
  <si>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</si>
  <si>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</si>
  <si>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</si>
  <si>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</si>
  <si>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</si>
  <si>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</si>
  <si>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</si>
  <si>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</si>
  <si>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</si>
  <si>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</si>
  <si>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</si>
  <si>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</si>
  <si>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</si>
  <si>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</si>
  <si>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</si>
  <si>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</si>
  <si>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</si>
  <si>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</si>
  <si>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</si>
  <si>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</si>
  <si>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</si>
  <si>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</si>
  <si>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</si>
  <si>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</si>
  <si>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</si>
  <si>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</si>
  <si>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</si>
  <si>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</si>
  <si>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</si>
  <si>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</si>
  <si>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</si>
  <si>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</si>
  <si>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</si>
  <si>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</si>
  <si>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</si>
  <si>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</si>
  <si>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</si>
  <si>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</si>
  <si>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</si>
  <si>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</si>
  <si>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</si>
  <si>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</si>
  <si>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</si>
  <si>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</si>
  <si>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</si>
  <si>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</si>
  <si>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</si>
  <si>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</si>
  <si>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</si>
  <si>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</si>
  <si>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</si>
  <si>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</si>
  <si>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</si>
  <si>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</si>
  <si>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</si>
  <si>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</si>
  <si>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</si>
  <si>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</si>
  <si>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</si>
  <si>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</si>
  <si>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</si>
  <si>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</si>
  <si>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</si>
  <si>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</si>
  <si>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</si>
  <si>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</si>
  <si>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</si>
  <si>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</si>
  <si>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</si>
  <si>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</si>
  <si>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</si>
  <si>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</si>
  <si>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</si>
  <si>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</si>
  <si>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</si>
  <si>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</si>
  <si>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</si>
  <si>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</si>
  <si>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</si>
  <si>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</si>
  <si>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</si>
  <si>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</si>
  <si>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</si>
  <si>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</si>
  <si>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</si>
  <si>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</si>
  <si>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</si>
  <si>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</si>
  <si>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</si>
  <si>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</si>
  <si>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</si>
  <si>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</si>
  <si>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</si>
  <si>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</si>
  <si>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</si>
  <si>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</si>
  <si>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</si>
  <si>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</si>
  <si>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</si>
  <si>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</si>
  <si>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</si>
  <si>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</si>
  <si>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</si>
  <si>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</si>
  <si>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</si>
  <si>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</si>
  <si>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</si>
  <si>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</si>
  <si>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</si>
  <si>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</si>
  <si>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</si>
  <si>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</si>
  <si>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</si>
  <si>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</si>
  <si>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</si>
  <si>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</si>
  <si>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</si>
  <si>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</si>
  <si>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</si>
  <si>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</si>
  <si>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</si>
  <si>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</si>
  <si>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</si>
  <si>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</si>
  <si>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</si>
  <si>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</si>
  <si>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</si>
  <si>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</si>
  <si>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</si>
  <si>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</si>
  <si>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</si>
  <si>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</si>
  <si>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</si>
  <si>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</si>
  <si>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</si>
  <si>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</si>
  <si>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</si>
  <si>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</si>
  <si>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</si>
  <si>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</si>
  <si>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</si>
  <si>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</si>
  <si>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</si>
  <si>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</si>
  <si>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</si>
  <si>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</si>
  <si>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</si>
  <si>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</si>
  <si>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</si>
  <si>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</si>
  <si>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</si>
  <si>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</si>
  <si>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</si>
  <si>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</si>
  <si>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</si>
  <si>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</si>
  <si>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</si>
  <si>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</si>
  <si>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</si>
  <si>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Oprensning af slambed</t>
  </si>
  <si>
    <t>Resultat af kontrol med overholdelse af den økonomiske ramme for 2021</t>
  </si>
  <si>
    <t>Ingen tilknyttet virksomhed under hovedvirksomheden</t>
  </si>
  <si>
    <t>Ingen anlægsprojekter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</si>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</sst>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1"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8" fillId="8"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1" t="s">
        <v>4</v>
      </c>
      <c r="E6" s="111"/>
      <c r="F6" s="111"/>
      <c r="G6" s="111"/>
      <c r="H6" s="3"/>
      <c r="I6" s="1"/>
    </row>
    <row r="7" spans="1:9" ht="15" customHeight="1" x14ac:dyDescent="0.25">
      <c r="A7" s="1"/>
      <c r="B7" s="1"/>
      <c r="C7" s="3"/>
      <c r="D7" s="111"/>
      <c r="E7" s="111"/>
      <c r="F7" s="111"/>
      <c r="G7" s="111"/>
      <c r="H7" s="3"/>
      <c r="I7" s="1"/>
    </row>
    <row r="8" spans="1:9" ht="15.75" x14ac:dyDescent="0.25">
      <c r="A8" s="1"/>
      <c r="B8" s="1"/>
      <c r="C8" s="4"/>
      <c r="D8" s="116" t="s">
        <v>226</v>
      </c>
      <c r="E8" s="116"/>
      <c r="F8" s="116"/>
      <c r="G8" s="11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5" t="s">
        <v>5</v>
      </c>
      <c r="E11" s="115"/>
      <c r="F11" s="115"/>
      <c r="G11" s="115"/>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8" t="s">
        <v>236</v>
      </c>
      <c r="E14" s="109"/>
      <c r="F14" s="109"/>
      <c r="G14" s="110"/>
      <c r="H14" s="5"/>
      <c r="I14" s="1"/>
    </row>
    <row r="15" spans="1:9" x14ac:dyDescent="0.25">
      <c r="A15" s="1"/>
      <c r="B15" s="1"/>
      <c r="C15" s="6" t="s">
        <v>34</v>
      </c>
      <c r="D15" s="108" t="s">
        <v>170</v>
      </c>
      <c r="E15" s="109"/>
      <c r="F15" s="109"/>
      <c r="G15" s="110"/>
      <c r="H15" s="5"/>
      <c r="I15" s="1"/>
    </row>
    <row r="16" spans="1:9" x14ac:dyDescent="0.25">
      <c r="A16" s="1"/>
      <c r="B16" s="1"/>
      <c r="C16" s="6" t="s">
        <v>35</v>
      </c>
      <c r="D16" s="108" t="s">
        <v>182</v>
      </c>
      <c r="E16" s="109"/>
      <c r="F16" s="109"/>
      <c r="G16" s="110"/>
      <c r="H16" s="5"/>
      <c r="I16" s="1"/>
    </row>
    <row r="17" spans="1:9" x14ac:dyDescent="0.25">
      <c r="A17" s="1"/>
      <c r="B17" s="1"/>
      <c r="C17" s="6" t="s">
        <v>119</v>
      </c>
      <c r="D17" s="108" t="s">
        <v>183</v>
      </c>
      <c r="E17" s="109"/>
      <c r="F17" s="109"/>
      <c r="G17" s="110"/>
      <c r="H17" s="5"/>
      <c r="I17" s="1"/>
    </row>
    <row r="18" spans="1:9" x14ac:dyDescent="0.25">
      <c r="A18" s="1"/>
      <c r="B18" s="1"/>
      <c r="C18" s="6" t="s">
        <v>106</v>
      </c>
      <c r="D18" s="105" t="s">
        <v>95</v>
      </c>
      <c r="E18" s="106"/>
      <c r="F18" s="106"/>
      <c r="G18" s="107"/>
      <c r="H18" s="5"/>
      <c r="I18" s="1"/>
    </row>
    <row r="19" spans="1:9" x14ac:dyDescent="0.25">
      <c r="A19" s="1"/>
      <c r="B19" s="1"/>
      <c r="C19" s="6" t="s">
        <v>107</v>
      </c>
      <c r="D19" s="105" t="s">
        <v>96</v>
      </c>
      <c r="E19" s="106"/>
      <c r="F19" s="106"/>
      <c r="G19" s="107"/>
      <c r="H19" s="5"/>
      <c r="I19" s="1"/>
    </row>
    <row r="20" spans="1:9" x14ac:dyDescent="0.25">
      <c r="A20" s="1"/>
      <c r="B20" s="1"/>
      <c r="C20" s="6" t="s">
        <v>7</v>
      </c>
      <c r="D20" s="105" t="s">
        <v>10</v>
      </c>
      <c r="E20" s="106"/>
      <c r="F20" s="106"/>
      <c r="G20" s="107"/>
      <c r="H20" s="5"/>
      <c r="I20" s="1"/>
    </row>
    <row r="21" spans="1:9" x14ac:dyDescent="0.25">
      <c r="A21" s="1"/>
      <c r="B21" s="1"/>
      <c r="C21" s="6" t="s">
        <v>108</v>
      </c>
      <c r="D21" s="112" t="s">
        <v>12</v>
      </c>
      <c r="E21" s="113"/>
      <c r="F21" s="113"/>
      <c r="G21" s="114"/>
      <c r="H21" s="5"/>
      <c r="I21" s="1"/>
    </row>
    <row r="22" spans="1:9" x14ac:dyDescent="0.25">
      <c r="A22" s="1"/>
      <c r="B22" s="1"/>
      <c r="C22" s="6" t="s">
        <v>83</v>
      </c>
      <c r="D22" s="99" t="s">
        <v>184</v>
      </c>
      <c r="E22" s="100"/>
      <c r="F22" s="100"/>
      <c r="G22" s="101"/>
      <c r="H22" s="5"/>
      <c r="I22" s="1"/>
    </row>
    <row r="23" spans="1:9" x14ac:dyDescent="0.25">
      <c r="A23" s="1"/>
      <c r="B23" s="1"/>
      <c r="C23" s="6" t="s">
        <v>8</v>
      </c>
      <c r="D23" s="99" t="s">
        <v>254</v>
      </c>
      <c r="E23" s="100"/>
      <c r="F23" s="100"/>
      <c r="G23" s="101"/>
      <c r="H23" s="5"/>
      <c r="I23" s="1"/>
    </row>
    <row r="24" spans="1:9" x14ac:dyDescent="0.25">
      <c r="A24" s="1"/>
      <c r="B24" s="1"/>
      <c r="C24" s="6" t="s">
        <v>9</v>
      </c>
      <c r="D24" s="99" t="s">
        <v>185</v>
      </c>
      <c r="E24" s="100"/>
      <c r="F24" s="100"/>
      <c r="G24" s="101"/>
      <c r="H24" s="5"/>
      <c r="I24" s="1"/>
    </row>
    <row r="25" spans="1:9" x14ac:dyDescent="0.25">
      <c r="A25" s="1"/>
      <c r="B25" s="1"/>
      <c r="C25" s="6" t="s">
        <v>247</v>
      </c>
      <c r="D25" s="99" t="s">
        <v>238</v>
      </c>
      <c r="E25" s="100"/>
      <c r="F25" s="100"/>
      <c r="G25" s="101"/>
      <c r="H25" s="1"/>
      <c r="I25" s="1"/>
    </row>
    <row r="26" spans="1:9" x14ac:dyDescent="0.25">
      <c r="A26" s="1"/>
      <c r="B26" s="1"/>
      <c r="C26" s="6" t="s">
        <v>248</v>
      </c>
      <c r="D26" s="99" t="s">
        <v>84</v>
      </c>
      <c r="E26" s="100"/>
      <c r="F26" s="100"/>
      <c r="G26" s="101"/>
      <c r="H26" s="1"/>
      <c r="I26" s="1"/>
    </row>
    <row r="27" spans="1:9" x14ac:dyDescent="0.25">
      <c r="A27" s="1"/>
      <c r="B27" s="1"/>
      <c r="C27" s="6" t="s">
        <v>249</v>
      </c>
      <c r="D27" s="99" t="s">
        <v>85</v>
      </c>
      <c r="E27" s="100"/>
      <c r="F27" s="100"/>
      <c r="G27" s="101"/>
      <c r="H27" s="1"/>
      <c r="I27" s="1"/>
    </row>
    <row r="28" spans="1:9" x14ac:dyDescent="0.25">
      <c r="A28" s="1"/>
      <c r="B28" s="1"/>
      <c r="C28" s="6" t="s">
        <v>15</v>
      </c>
      <c r="D28" s="99" t="s">
        <v>86</v>
      </c>
      <c r="E28" s="100"/>
      <c r="F28" s="100"/>
      <c r="G28" s="101"/>
      <c r="H28" s="1"/>
      <c r="I28" s="1"/>
    </row>
    <row r="29" spans="1:9" x14ac:dyDescent="0.25">
      <c r="A29" s="1"/>
      <c r="B29" s="1"/>
      <c r="C29" s="6" t="s">
        <v>37</v>
      </c>
      <c r="D29" s="99" t="s">
        <v>134</v>
      </c>
      <c r="E29" s="100"/>
      <c r="F29" s="100"/>
      <c r="G29" s="101"/>
      <c r="H29" s="1"/>
      <c r="I29" s="1"/>
    </row>
    <row r="30" spans="1:9" x14ac:dyDescent="0.25">
      <c r="A30" s="1"/>
      <c r="B30" s="1"/>
      <c r="C30" s="6" t="s">
        <v>38</v>
      </c>
      <c r="D30" s="99" t="s">
        <v>36</v>
      </c>
      <c r="E30" s="100"/>
      <c r="F30" s="100"/>
      <c r="G30" s="101"/>
      <c r="H30" s="1"/>
      <c r="I30" s="1"/>
    </row>
    <row r="31" spans="1:9" x14ac:dyDescent="0.25">
      <c r="A31" s="1"/>
      <c r="B31" s="1"/>
      <c r="C31" s="6" t="s">
        <v>250</v>
      </c>
      <c r="D31" s="102" t="s">
        <v>105</v>
      </c>
      <c r="E31" s="103"/>
      <c r="F31" s="103"/>
      <c r="G31" s="10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x4KsfeGZghegB+jXbpOsxWliyhQE5soojjpTRfGLpt2i6cJxJwiw7HgVzjZKCdh4HMJlivnETGEUz1OfviIw5g==" saltValue="qbgffk/OZ2GH1wyGzJXod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0" t="s">
        <v>111</v>
      </c>
      <c r="C3" s="120"/>
      <c r="D3" s="120"/>
      <c r="E3" s="1"/>
      <c r="F3" s="1"/>
    </row>
    <row r="4" spans="1:6" ht="15" customHeight="1" x14ac:dyDescent="0.25">
      <c r="A4" s="1"/>
      <c r="B4" s="120"/>
      <c r="C4" s="120"/>
      <c r="D4" s="12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2" t="s">
        <v>199</v>
      </c>
      <c r="C8" s="133"/>
      <c r="D8" s="134"/>
      <c r="E8" s="1"/>
      <c r="F8" s="1"/>
    </row>
    <row r="9" spans="1:6" ht="15" customHeight="1" x14ac:dyDescent="0.25">
      <c r="A9" s="1"/>
      <c r="B9" s="26" t="s">
        <v>32</v>
      </c>
      <c r="C9" s="54" t="s">
        <v>241</v>
      </c>
      <c r="D9" s="11"/>
      <c r="E9" s="1"/>
      <c r="F9" s="1"/>
    </row>
    <row r="10" spans="1:6" x14ac:dyDescent="0.25">
      <c r="A10" s="1"/>
      <c r="B10" s="90" t="s">
        <v>266</v>
      </c>
      <c r="C10" s="9">
        <v>1275488</v>
      </c>
      <c r="D10" s="14" t="s">
        <v>3</v>
      </c>
      <c r="E10" s="1"/>
      <c r="F10" s="1"/>
    </row>
    <row r="11" spans="1:6" x14ac:dyDescent="0.25">
      <c r="A11" s="1"/>
      <c r="B11" s="90" t="s">
        <v>267</v>
      </c>
      <c r="C11" s="9">
        <v>109505</v>
      </c>
      <c r="D11" s="14" t="s">
        <v>3</v>
      </c>
      <c r="E11" s="1"/>
      <c r="F11" s="1"/>
    </row>
    <row r="12" spans="1:6" x14ac:dyDescent="0.25">
      <c r="A12" s="1"/>
      <c r="B12" s="90" t="s">
        <v>268</v>
      </c>
      <c r="C12" s="9">
        <v>116857</v>
      </c>
      <c r="D12" s="14" t="s">
        <v>3</v>
      </c>
      <c r="E12" s="1"/>
      <c r="F12" s="1"/>
    </row>
    <row r="13" spans="1:6" x14ac:dyDescent="0.25">
      <c r="A13" s="1"/>
      <c r="B13" s="32" t="s">
        <v>200</v>
      </c>
      <c r="C13" s="12">
        <f>SUM(C10:C12)</f>
        <v>1501850</v>
      </c>
      <c r="D13" s="13" t="s">
        <v>3</v>
      </c>
      <c r="E13" s="1"/>
      <c r="F13" s="1"/>
    </row>
    <row r="14" spans="1:6" x14ac:dyDescent="0.25">
      <c r="A14" s="1"/>
      <c r="B14" s="32" t="s">
        <v>201</v>
      </c>
      <c r="C14" s="12">
        <f>C13*(1+'Fane 15. Nøgletal'!C15)^2</f>
        <v>1610685.1046160001</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2" t="s">
        <v>117</v>
      </c>
      <c r="C17" s="133"/>
      <c r="D17" s="134"/>
      <c r="E17" s="1"/>
      <c r="F17" s="1"/>
    </row>
    <row r="18" spans="1:6" x14ac:dyDescent="0.25">
      <c r="A18" s="1"/>
      <c r="B18" s="90" t="s">
        <v>99</v>
      </c>
      <c r="C18" s="9">
        <v>0</v>
      </c>
      <c r="D18" s="14" t="s">
        <v>3</v>
      </c>
      <c r="E18" s="1"/>
      <c r="F18" s="1"/>
    </row>
    <row r="19" spans="1:6" x14ac:dyDescent="0.25">
      <c r="A19" s="1"/>
      <c r="B19" s="90" t="s">
        <v>129</v>
      </c>
      <c r="C19" s="9">
        <v>0</v>
      </c>
      <c r="D19" s="14" t="s">
        <v>3</v>
      </c>
      <c r="E19" s="1"/>
      <c r="F19" s="1"/>
    </row>
    <row r="20" spans="1:6" x14ac:dyDescent="0.25">
      <c r="A20" s="1"/>
      <c r="B20" s="90" t="s">
        <v>155</v>
      </c>
      <c r="C20" s="9">
        <v>0</v>
      </c>
      <c r="D20" s="14" t="s">
        <v>3</v>
      </c>
      <c r="E20" s="1"/>
      <c r="F20" s="1"/>
    </row>
    <row r="21" spans="1:6" x14ac:dyDescent="0.25">
      <c r="A21" s="1"/>
      <c r="B21" s="33" t="s">
        <v>202</v>
      </c>
      <c r="C21" s="9">
        <v>0</v>
      </c>
      <c r="D21" s="40" t="s">
        <v>3</v>
      </c>
      <c r="E21" s="1"/>
      <c r="F21" s="1"/>
    </row>
    <row r="22" spans="1:6" x14ac:dyDescent="0.25">
      <c r="A22" s="1"/>
      <c r="B22" s="132"/>
      <c r="C22" s="133"/>
      <c r="D22" s="134"/>
      <c r="E22" s="1"/>
      <c r="F22" s="1"/>
    </row>
    <row r="23" spans="1:6" x14ac:dyDescent="0.25">
      <c r="A23" s="1"/>
      <c r="B23" s="1"/>
      <c r="C23" s="1"/>
      <c r="D23" s="1"/>
      <c r="E23" s="1"/>
      <c r="F23" s="1"/>
    </row>
    <row r="24" spans="1:6" x14ac:dyDescent="0.25">
      <c r="A24" s="1"/>
      <c r="B24" s="1"/>
      <c r="C24" s="1"/>
      <c r="D24" s="1"/>
      <c r="E24" s="1"/>
      <c r="F24" s="1"/>
    </row>
    <row r="25" spans="1:6" x14ac:dyDescent="0.25">
      <c r="A25" s="1"/>
      <c r="B25" s="132" t="s">
        <v>98</v>
      </c>
      <c r="C25" s="133"/>
      <c r="D25" s="134"/>
      <c r="E25" s="1"/>
      <c r="F25" s="1"/>
    </row>
    <row r="26" spans="1:6" x14ac:dyDescent="0.25">
      <c r="A26" s="1"/>
      <c r="B26" s="90" t="s">
        <v>99</v>
      </c>
      <c r="C26" s="9">
        <v>0</v>
      </c>
      <c r="D26" s="14" t="s">
        <v>3</v>
      </c>
      <c r="E26" s="1"/>
      <c r="F26" s="1"/>
    </row>
    <row r="27" spans="1:6" x14ac:dyDescent="0.25">
      <c r="A27" s="1"/>
      <c r="B27" s="90" t="s">
        <v>129</v>
      </c>
      <c r="C27" s="9">
        <v>0</v>
      </c>
      <c r="D27" s="14" t="s">
        <v>3</v>
      </c>
      <c r="E27" s="1"/>
      <c r="F27" s="1"/>
    </row>
    <row r="28" spans="1:6" x14ac:dyDescent="0.25">
      <c r="A28" s="1"/>
      <c r="B28" s="90" t="s">
        <v>155</v>
      </c>
      <c r="C28" s="9">
        <v>0</v>
      </c>
      <c r="D28" s="14" t="s">
        <v>3</v>
      </c>
      <c r="E28" s="1"/>
      <c r="F28" s="1"/>
    </row>
    <row r="29" spans="1:6" x14ac:dyDescent="0.25">
      <c r="A29" s="1"/>
      <c r="B29" s="33" t="s">
        <v>202</v>
      </c>
      <c r="C29" s="9">
        <v>0</v>
      </c>
      <c r="D29" s="40" t="s">
        <v>3</v>
      </c>
      <c r="E29" s="1"/>
      <c r="F29" s="1"/>
    </row>
    <row r="30" spans="1:6" x14ac:dyDescent="0.25">
      <c r="A30" s="1"/>
      <c r="B30" s="132"/>
      <c r="C30" s="133"/>
      <c r="D30" s="134"/>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8"/>
      <c r="B47" s="48"/>
      <c r="C47" s="48"/>
      <c r="D47" s="48"/>
      <c r="E47" s="48"/>
      <c r="F47" s="48"/>
    </row>
    <row r="48" spans="1:6" x14ac:dyDescent="0.25">
      <c r="A48" s="48"/>
      <c r="B48" s="48"/>
      <c r="C48" s="48"/>
      <c r="D48" s="48"/>
      <c r="E48" s="48"/>
      <c r="F48" s="48"/>
    </row>
    <row r="49" spans="1:6" x14ac:dyDescent="0.25">
      <c r="A49" s="48"/>
      <c r="B49" s="48"/>
      <c r="C49" s="48"/>
      <c r="D49" s="48"/>
      <c r="E49" s="48"/>
      <c r="F49" s="48"/>
    </row>
    <row r="50" spans="1:6" x14ac:dyDescent="0.25">
      <c r="A50" s="48"/>
      <c r="B50" s="48"/>
      <c r="C50" s="48"/>
      <c r="D50" s="48"/>
      <c r="E50" s="48"/>
      <c r="F50" s="48"/>
    </row>
  </sheetData>
  <sheetProtection algorithmName="SHA-512" hashValue="uTw6jJKeE6tEvblECUc6mOu2UxnAxH6uNiHpVpEqDUSYRO3jkrn8lx8e/yHDKWzRIyhSCE4pQkAqmhVkh2+aQQ==" saltValue="k5EuCREaxYIZiaDF3utOZQ=="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5" t="s">
        <v>203</v>
      </c>
      <c r="C3" s="125"/>
      <c r="D3" s="125"/>
      <c r="E3" s="125"/>
      <c r="F3" s="125"/>
      <c r="G3" s="1"/>
    </row>
    <row r="4" spans="1:7" ht="15" customHeight="1" x14ac:dyDescent="0.25">
      <c r="A4" s="1"/>
      <c r="B4" s="125"/>
      <c r="C4" s="125"/>
      <c r="D4" s="125"/>
      <c r="E4" s="125"/>
      <c r="F4" s="125"/>
      <c r="G4" s="1"/>
    </row>
    <row r="5" spans="1:7" ht="15" customHeight="1" x14ac:dyDescent="0.25">
      <c r="A5" s="1"/>
      <c r="B5" s="86"/>
      <c r="C5" s="86"/>
      <c r="D5" s="86"/>
      <c r="E5" s="86"/>
      <c r="F5" s="86"/>
      <c r="G5" s="1"/>
    </row>
    <row r="6" spans="1:7" ht="3" customHeight="1" x14ac:dyDescent="0.25">
      <c r="A6" s="1"/>
      <c r="B6" s="86"/>
      <c r="C6" s="86"/>
      <c r="D6" s="86"/>
      <c r="E6" s="86"/>
      <c r="F6" s="86"/>
      <c r="G6" s="1"/>
    </row>
    <row r="7" spans="1:7" x14ac:dyDescent="0.25">
      <c r="A7" s="1"/>
      <c r="B7" s="1"/>
      <c r="C7" s="1"/>
      <c r="D7" s="1"/>
      <c r="E7" s="1"/>
      <c r="F7" s="1"/>
      <c r="G7" s="1"/>
    </row>
    <row r="8" spans="1:7" x14ac:dyDescent="0.25">
      <c r="A8" s="1"/>
      <c r="B8" s="132" t="s">
        <v>178</v>
      </c>
      <c r="C8" s="133"/>
      <c r="D8" s="133"/>
      <c r="E8" s="133"/>
      <c r="F8" s="134"/>
      <c r="G8" s="1"/>
    </row>
    <row r="9" spans="1:7" x14ac:dyDescent="0.25">
      <c r="A9" s="1"/>
      <c r="B9" s="137" t="s">
        <v>204</v>
      </c>
      <c r="C9" s="138"/>
      <c r="D9" s="139"/>
      <c r="E9" s="9">
        <v>425340.71719198301</v>
      </c>
      <c r="F9" s="14" t="s">
        <v>3</v>
      </c>
      <c r="G9" s="1"/>
    </row>
    <row r="10" spans="1:7" x14ac:dyDescent="0.25">
      <c r="A10" s="1"/>
      <c r="B10" s="137" t="s">
        <v>264</v>
      </c>
      <c r="C10" s="138"/>
      <c r="D10" s="139"/>
      <c r="E10" s="9">
        <v>425340.71719198301</v>
      </c>
      <c r="F10" s="14" t="s">
        <v>3</v>
      </c>
      <c r="G10" s="1"/>
    </row>
    <row r="11" spans="1:7" x14ac:dyDescent="0.25">
      <c r="A11" s="1"/>
      <c r="B11" s="32"/>
      <c r="C11" s="27"/>
      <c r="D11" s="27"/>
      <c r="E11" s="27"/>
      <c r="F11" s="19"/>
      <c r="G11" s="1"/>
    </row>
    <row r="12" spans="1:7" ht="65.25" customHeight="1" x14ac:dyDescent="0.25">
      <c r="A12" s="1"/>
      <c r="B12" s="122" t="s">
        <v>285</v>
      </c>
      <c r="C12" s="123"/>
      <c r="D12" s="123"/>
      <c r="E12" s="123"/>
      <c r="F12" s="124"/>
      <c r="G12" s="1"/>
    </row>
    <row r="13" spans="1:7" ht="27" customHeight="1" x14ac:dyDescent="0.25">
      <c r="A13" s="1"/>
      <c r="B13" s="1"/>
      <c r="C13" s="1"/>
      <c r="D13" s="1"/>
      <c r="E13" s="1"/>
      <c r="F13" s="1"/>
      <c r="G13" s="1"/>
    </row>
    <row r="14" spans="1:7" ht="28.5" customHeight="1" x14ac:dyDescent="0.25">
      <c r="A14" s="1"/>
      <c r="B14" s="132" t="s">
        <v>179</v>
      </c>
      <c r="C14" s="133"/>
      <c r="D14" s="133"/>
      <c r="E14" s="133"/>
      <c r="F14" s="134"/>
      <c r="G14" s="1"/>
    </row>
    <row r="15" spans="1:7" x14ac:dyDescent="0.25">
      <c r="A15" s="1"/>
      <c r="B15" s="137" t="s">
        <v>281</v>
      </c>
      <c r="C15" s="138"/>
      <c r="D15" s="139"/>
      <c r="E15" s="9">
        <v>-211170.27085499465</v>
      </c>
      <c r="F15" s="14" t="s">
        <v>3</v>
      </c>
      <c r="G15" s="1"/>
    </row>
    <row r="16" spans="1:7" x14ac:dyDescent="0.25">
      <c r="A16" s="1"/>
      <c r="B16" s="137" t="s">
        <v>282</v>
      </c>
      <c r="C16" s="138"/>
      <c r="D16" s="139"/>
      <c r="E16" s="9">
        <v>-211170.27085499465</v>
      </c>
      <c r="F16" s="14" t="s">
        <v>3</v>
      </c>
      <c r="G16" s="1"/>
    </row>
    <row r="17" spans="1:7" x14ac:dyDescent="0.25">
      <c r="A17" s="1"/>
      <c r="B17" s="32"/>
      <c r="C17" s="27"/>
      <c r="D17" s="27"/>
      <c r="E17" s="27"/>
      <c r="F17" s="19"/>
      <c r="G17" s="1"/>
    </row>
    <row r="18" spans="1:7" ht="27.75" customHeight="1" x14ac:dyDescent="0.25">
      <c r="A18" s="1"/>
      <c r="B18" s="122" t="s">
        <v>286</v>
      </c>
      <c r="C18" s="123"/>
      <c r="D18" s="123"/>
      <c r="E18" s="123"/>
      <c r="F18" s="124"/>
      <c r="G18" s="1"/>
    </row>
    <row r="19" spans="1:7" ht="28.5" customHeight="1" x14ac:dyDescent="0.25">
      <c r="A19" s="1"/>
      <c r="B19" s="1"/>
      <c r="C19" s="1"/>
      <c r="D19" s="1"/>
      <c r="E19" s="1"/>
      <c r="F19" s="1"/>
      <c r="G19" s="1"/>
    </row>
    <row r="20" spans="1:7" ht="28.5" customHeight="1" x14ac:dyDescent="0.25">
      <c r="A20" s="1"/>
      <c r="B20" s="81" t="s">
        <v>205</v>
      </c>
      <c r="C20" s="82"/>
      <c r="D20" s="82"/>
      <c r="E20" s="82"/>
      <c r="F20" s="83"/>
      <c r="G20" s="1"/>
    </row>
    <row r="21" spans="1:7" x14ac:dyDescent="0.25">
      <c r="A21" s="1"/>
      <c r="B21" s="87" t="s">
        <v>206</v>
      </c>
      <c r="C21" s="88"/>
      <c r="D21" s="89"/>
      <c r="E21" s="9">
        <v>34128673.607867233</v>
      </c>
      <c r="F21" s="14" t="s">
        <v>3</v>
      </c>
      <c r="G21" s="1"/>
    </row>
    <row r="22" spans="1:7" x14ac:dyDescent="0.25">
      <c r="A22" s="1"/>
      <c r="B22" s="87" t="s">
        <v>207</v>
      </c>
      <c r="C22" s="88"/>
      <c r="D22" s="89"/>
      <c r="E22" s="9">
        <v>35791164.879999995</v>
      </c>
      <c r="F22" s="14" t="s">
        <v>3</v>
      </c>
      <c r="G22" s="1"/>
    </row>
    <row r="23" spans="1:7" x14ac:dyDescent="0.25">
      <c r="A23" s="1"/>
      <c r="B23" s="87" t="s">
        <v>33</v>
      </c>
      <c r="C23" s="88"/>
      <c r="D23" s="89"/>
      <c r="E23" s="9">
        <v>0</v>
      </c>
      <c r="F23" s="14" t="s">
        <v>3</v>
      </c>
      <c r="G23" s="1"/>
    </row>
    <row r="24" spans="1:7" x14ac:dyDescent="0.25">
      <c r="A24" s="1"/>
      <c r="B24" s="84" t="s">
        <v>270</v>
      </c>
      <c r="C24" s="85"/>
      <c r="D24" s="93"/>
      <c r="E24" s="68">
        <f>E21-(E22-E23)</f>
        <v>-1662491.2721327618</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2" t="s">
        <v>283</v>
      </c>
      <c r="C27" s="133"/>
      <c r="D27" s="133"/>
      <c r="E27" s="133"/>
      <c r="F27" s="134"/>
      <c r="G27" s="1"/>
    </row>
    <row r="28" spans="1:7" x14ac:dyDescent="0.25">
      <c r="A28" s="1"/>
      <c r="B28" s="135" t="s">
        <v>284</v>
      </c>
      <c r="C28" s="136"/>
      <c r="D28" s="155"/>
      <c r="E28" s="69">
        <f>E16</f>
        <v>-211170.27085499465</v>
      </c>
      <c r="F28" s="17" t="s">
        <v>3</v>
      </c>
      <c r="G28" s="1"/>
    </row>
    <row r="29" spans="1:7" x14ac:dyDescent="0.25">
      <c r="A29" s="1"/>
      <c r="B29" s="132"/>
      <c r="C29" s="133"/>
      <c r="D29" s="133"/>
      <c r="E29" s="133"/>
      <c r="F29" s="134"/>
      <c r="G29" s="1"/>
    </row>
    <row r="30" spans="1:7" x14ac:dyDescent="0.25">
      <c r="A30" s="1"/>
      <c r="B30" s="1"/>
      <c r="C30" s="1"/>
      <c r="D30" s="1"/>
      <c r="E30" s="1"/>
      <c r="F30" s="1"/>
      <c r="G30" s="1"/>
    </row>
    <row r="31" spans="1:7" ht="28.5" customHeight="1" x14ac:dyDescent="0.25">
      <c r="A31" s="1"/>
      <c r="B31" s="132" t="s">
        <v>265</v>
      </c>
      <c r="C31" s="133"/>
      <c r="D31" s="133"/>
      <c r="E31" s="133"/>
      <c r="F31" s="134"/>
      <c r="G31" s="1"/>
    </row>
    <row r="32" spans="1:7" x14ac:dyDescent="0.25">
      <c r="A32" s="1"/>
      <c r="B32" s="156" t="s">
        <v>143</v>
      </c>
      <c r="C32" s="157"/>
      <c r="D32" s="158"/>
      <c r="E32" s="70">
        <f>IF(AND(E9&gt;0,(E9+E24)&gt;0),0,IF(AND(E9&gt;0,(E9+E24)&lt;0),(E9+E24),IF(AND(E9&lt;0,E24&lt;0),E24,0)))</f>
        <v>-1237150.5549407788</v>
      </c>
      <c r="F32" s="14" t="s">
        <v>3</v>
      </c>
      <c r="G32" s="1"/>
    </row>
    <row r="33" spans="1:7" x14ac:dyDescent="0.25">
      <c r="A33" s="1"/>
      <c r="B33" s="156" t="s">
        <v>102</v>
      </c>
      <c r="C33" s="157"/>
      <c r="D33" s="158"/>
      <c r="E33" s="9">
        <v>4</v>
      </c>
      <c r="F33" s="14" t="s">
        <v>20</v>
      </c>
      <c r="G33" s="1"/>
    </row>
    <row r="34" spans="1:7" x14ac:dyDescent="0.25">
      <c r="A34" s="1"/>
      <c r="B34" s="159" t="s">
        <v>144</v>
      </c>
      <c r="C34" s="159"/>
      <c r="D34" s="159"/>
      <c r="E34" s="69">
        <f>E32/E33</f>
        <v>-309287.63873519469</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fKgoehO+0gd2NzHQimAfKXeHioTCPOFaDct5NFydOdKylztjs3ekTxt1/m7c5vvG3+yFT0pojrxSb/yv4l32wA==" saltValue="Aidjc2MZqyuZuvZqDVYRCg==" spinCount="100000" sheet="1" objects="1" scenarios="1"/>
  <mergeCells count="17">
    <mergeCell ref="B15:D15"/>
    <mergeCell ref="B16:D16"/>
    <mergeCell ref="B32:D32"/>
    <mergeCell ref="B29:F29"/>
    <mergeCell ref="B18:F18"/>
    <mergeCell ref="B27:F27"/>
    <mergeCell ref="B3:F4"/>
    <mergeCell ref="B8:F8"/>
    <mergeCell ref="B9:D9"/>
    <mergeCell ref="B10:D10"/>
    <mergeCell ref="B14:F14"/>
    <mergeCell ref="B12:F12"/>
    <mergeCell ref="B28:D28"/>
    <mergeCell ref="B31:F31"/>
    <mergeCell ref="B33:D33"/>
    <mergeCell ref="B34:D34"/>
    <mergeCell ref="B35:F3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5" customWidth="1"/>
    <col min="2" max="2" width="22.5703125" style="65" customWidth="1"/>
    <col min="3" max="3" width="8.28515625" style="65" customWidth="1"/>
    <col min="4" max="6" width="10.7109375" style="65" customWidth="1"/>
    <col min="7" max="7" width="11.140625" style="65" customWidth="1"/>
    <col min="8" max="8" width="3.28515625" style="65" customWidth="1"/>
    <col min="9" max="9" width="4.85546875" style="65" customWidth="1"/>
    <col min="10" max="16384" width="9.140625" style="6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0" t="s">
        <v>251</v>
      </c>
      <c r="C3" s="120"/>
      <c r="D3" s="120"/>
      <c r="E3" s="120"/>
      <c r="F3" s="120"/>
      <c r="G3" s="120"/>
      <c r="H3" s="120"/>
      <c r="I3" s="1"/>
    </row>
    <row r="4" spans="1:9" ht="15" customHeight="1" x14ac:dyDescent="0.25">
      <c r="A4" s="1"/>
      <c r="B4" s="120"/>
      <c r="C4" s="120"/>
      <c r="D4" s="120"/>
      <c r="E4" s="120"/>
      <c r="F4" s="120"/>
      <c r="G4" s="120"/>
      <c r="H4" s="12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2" t="s">
        <v>263</v>
      </c>
      <c r="C8" s="133"/>
      <c r="D8" s="133"/>
      <c r="E8" s="133"/>
      <c r="F8" s="133"/>
      <c r="G8" s="133"/>
      <c r="H8" s="134"/>
      <c r="I8" s="1"/>
    </row>
    <row r="9" spans="1:9" ht="15" customHeight="1" x14ac:dyDescent="0.25">
      <c r="A9" s="1"/>
      <c r="B9" s="129" t="s">
        <v>252</v>
      </c>
      <c r="C9" s="130"/>
      <c r="D9" s="130"/>
      <c r="E9" s="130"/>
      <c r="F9" s="130"/>
      <c r="G9" s="130"/>
      <c r="H9" s="131"/>
      <c r="I9" s="1"/>
    </row>
    <row r="10" spans="1:9" x14ac:dyDescent="0.25">
      <c r="A10" s="1"/>
      <c r="B10" s="160" t="s">
        <v>273</v>
      </c>
      <c r="C10" s="161"/>
      <c r="D10" s="161"/>
      <c r="E10" s="161"/>
      <c r="F10" s="162"/>
      <c r="G10" s="9">
        <v>0</v>
      </c>
      <c r="H10" s="9" t="s">
        <v>3</v>
      </c>
      <c r="I10" s="1"/>
    </row>
    <row r="11" spans="1:9" x14ac:dyDescent="0.25">
      <c r="A11" s="1"/>
      <c r="B11" s="160" t="s">
        <v>274</v>
      </c>
      <c r="C11" s="161"/>
      <c r="D11" s="161"/>
      <c r="E11" s="161"/>
      <c r="F11" s="162"/>
      <c r="G11" s="9">
        <v>0</v>
      </c>
      <c r="H11" s="9" t="s">
        <v>3</v>
      </c>
      <c r="I11" s="1"/>
    </row>
    <row r="12" spans="1:9" x14ac:dyDescent="0.25">
      <c r="A12" s="1"/>
      <c r="B12" s="160" t="s">
        <v>275</v>
      </c>
      <c r="C12" s="161"/>
      <c r="D12" s="161"/>
      <c r="E12" s="161"/>
      <c r="F12" s="162"/>
      <c r="G12" s="9">
        <v>0</v>
      </c>
      <c r="H12" s="9" t="s">
        <v>3</v>
      </c>
      <c r="I12" s="1"/>
    </row>
    <row r="13" spans="1:9" x14ac:dyDescent="0.25">
      <c r="A13" s="1"/>
      <c r="B13" s="160" t="s">
        <v>276</v>
      </c>
      <c r="C13" s="161"/>
      <c r="D13" s="161"/>
      <c r="E13" s="161"/>
      <c r="F13" s="162"/>
      <c r="G13" s="9">
        <v>0</v>
      </c>
      <c r="H13" s="9" t="s">
        <v>3</v>
      </c>
      <c r="I13" s="1"/>
    </row>
    <row r="14" spans="1:9" x14ac:dyDescent="0.25">
      <c r="A14" s="1"/>
      <c r="B14" s="160" t="s">
        <v>277</v>
      </c>
      <c r="C14" s="161"/>
      <c r="D14" s="161"/>
      <c r="E14" s="161"/>
      <c r="F14" s="162"/>
      <c r="G14" s="9">
        <v>0</v>
      </c>
      <c r="H14" s="9" t="s">
        <v>3</v>
      </c>
      <c r="I14" s="1"/>
    </row>
    <row r="15" spans="1:9" x14ac:dyDescent="0.25">
      <c r="A15" s="1"/>
      <c r="B15" s="160" t="s">
        <v>278</v>
      </c>
      <c r="C15" s="161"/>
      <c r="D15" s="161"/>
      <c r="E15" s="161"/>
      <c r="F15" s="162"/>
      <c r="G15" s="9">
        <v>0</v>
      </c>
      <c r="H15" s="9" t="s">
        <v>3</v>
      </c>
      <c r="I15" s="1"/>
    </row>
    <row r="16" spans="1:9" x14ac:dyDescent="0.25">
      <c r="A16" s="1"/>
      <c r="B16" s="160" t="s">
        <v>279</v>
      </c>
      <c r="C16" s="161"/>
      <c r="D16" s="161"/>
      <c r="E16" s="161"/>
      <c r="F16" s="162"/>
      <c r="G16" s="9">
        <v>0</v>
      </c>
      <c r="H16" s="9" t="s">
        <v>3</v>
      </c>
      <c r="I16" s="1"/>
    </row>
    <row r="17" spans="1:9" x14ac:dyDescent="0.25">
      <c r="A17" s="1"/>
      <c r="B17" s="160" t="s">
        <v>280</v>
      </c>
      <c r="C17" s="161"/>
      <c r="D17" s="161"/>
      <c r="E17" s="161"/>
      <c r="F17" s="162"/>
      <c r="G17" s="9">
        <v>0</v>
      </c>
      <c r="H17" s="9" t="s">
        <v>3</v>
      </c>
      <c r="I17" s="1"/>
    </row>
    <row r="18" spans="1:9" x14ac:dyDescent="0.25">
      <c r="A18" s="1"/>
      <c r="B18" s="132" t="s">
        <v>253</v>
      </c>
      <c r="C18" s="133"/>
      <c r="D18" s="133"/>
      <c r="E18" s="133"/>
      <c r="F18" s="13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KpDTo3UDY9lgYS187MsXkT9Da7NYCZISLD7TE7VWM9F9KgUdRfHkR0BMYIxWtdQgZrgKaj+o8QqacHxxQ4P3lA==" saltValue="ViYq1AQUkb2qXax3jAyYLQ=="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5" t="s">
        <v>255</v>
      </c>
      <c r="C3" s="125"/>
      <c r="D3" s="125"/>
      <c r="E3" s="125"/>
      <c r="F3" s="125"/>
      <c r="G3" s="1"/>
    </row>
    <row r="4" spans="1:7" ht="1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208</v>
      </c>
      <c r="C9" s="133"/>
      <c r="D9" s="133"/>
      <c r="E9" s="133"/>
      <c r="F9" s="134"/>
      <c r="G9" s="1"/>
    </row>
    <row r="10" spans="1:7" x14ac:dyDescent="0.25">
      <c r="A10" s="1"/>
      <c r="B10" s="122" t="s">
        <v>100</v>
      </c>
      <c r="C10" s="123"/>
      <c r="D10" s="124"/>
      <c r="E10" s="7">
        <v>0</v>
      </c>
      <c r="F10" s="8" t="s">
        <v>3</v>
      </c>
      <c r="G10" s="1"/>
    </row>
    <row r="11" spans="1:7" x14ac:dyDescent="0.25">
      <c r="A11" s="1"/>
      <c r="B11" s="137" t="s">
        <v>209</v>
      </c>
      <c r="C11" s="138"/>
      <c r="D11" s="139"/>
      <c r="E11" s="7">
        <v>0</v>
      </c>
      <c r="F11" s="8" t="s">
        <v>3</v>
      </c>
      <c r="G11" s="1"/>
    </row>
    <row r="12" spans="1:7" x14ac:dyDescent="0.25">
      <c r="A12" s="1"/>
      <c r="B12" s="135" t="s">
        <v>101</v>
      </c>
      <c r="C12" s="136"/>
      <c r="D12" s="155"/>
      <c r="E12" s="10">
        <f>E11-E10</f>
        <v>0</v>
      </c>
      <c r="F12" s="11" t="s">
        <v>3</v>
      </c>
      <c r="G12" s="1"/>
    </row>
    <row r="13" spans="1:7" x14ac:dyDescent="0.25">
      <c r="A13" s="1"/>
      <c r="B13" s="132" t="s">
        <v>94</v>
      </c>
      <c r="C13" s="133"/>
      <c r="D13" s="133"/>
      <c r="E13" s="133"/>
      <c r="F13" s="134"/>
      <c r="G13" s="1"/>
    </row>
    <row r="14" spans="1:7" x14ac:dyDescent="0.25">
      <c r="A14" s="1"/>
      <c r="B14" s="137" t="s">
        <v>210</v>
      </c>
      <c r="C14" s="138"/>
      <c r="D14" s="139"/>
      <c r="E14" s="9">
        <v>0</v>
      </c>
      <c r="F14" s="8" t="s">
        <v>3</v>
      </c>
      <c r="G14" s="1"/>
    </row>
    <row r="15" spans="1:7" x14ac:dyDescent="0.25">
      <c r="A15" s="1"/>
      <c r="B15" s="122" t="s">
        <v>211</v>
      </c>
      <c r="C15" s="123"/>
      <c r="D15" s="124"/>
      <c r="E15" s="9">
        <v>0</v>
      </c>
      <c r="F15" s="8" t="s">
        <v>3</v>
      </c>
      <c r="G15" s="1"/>
    </row>
    <row r="16" spans="1:7" x14ac:dyDescent="0.25">
      <c r="A16" s="1"/>
      <c r="B16" s="135" t="s">
        <v>101</v>
      </c>
      <c r="C16" s="136"/>
      <c r="D16" s="155"/>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xGSnrOFyvrqU5imNIY0S+nH92oRTjTf0dXeUYVPG4LZo38GK+PxrYxZlgGdowa8EHp9pm/oM1oS5mbCmYF4xA==" saltValue="Dc0EC+0fczrHLB9KJ9sF2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2.4257812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28515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0" t="s">
        <v>256</v>
      </c>
      <c r="C3" s="120"/>
      <c r="D3" s="120"/>
      <c r="E3" s="120"/>
      <c r="F3" s="120"/>
      <c r="G3" s="120"/>
      <c r="H3" s="120"/>
      <c r="I3" s="120"/>
      <c r="J3" s="120"/>
      <c r="K3" s="120"/>
      <c r="L3" s="1"/>
    </row>
    <row r="4" spans="1:12" ht="15" customHeight="1" x14ac:dyDescent="0.25">
      <c r="A4" s="1"/>
      <c r="B4" s="120"/>
      <c r="C4" s="120"/>
      <c r="D4" s="120"/>
      <c r="E4" s="120"/>
      <c r="F4" s="120"/>
      <c r="G4" s="120"/>
      <c r="H4" s="120"/>
      <c r="I4" s="120"/>
      <c r="J4" s="120"/>
      <c r="K4" s="12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2" t="s">
        <v>220</v>
      </c>
      <c r="C8" s="133"/>
      <c r="D8" s="133"/>
      <c r="E8" s="133"/>
      <c r="F8" s="133"/>
      <c r="G8" s="133"/>
      <c r="H8" s="133"/>
      <c r="I8" s="133"/>
      <c r="J8" s="133"/>
      <c r="K8" s="134"/>
      <c r="L8" s="1"/>
    </row>
    <row r="9" spans="1:12" ht="39.75" customHeight="1" x14ac:dyDescent="0.25">
      <c r="A9" s="1"/>
      <c r="B9" s="18" t="s">
        <v>0</v>
      </c>
      <c r="C9" s="18" t="s">
        <v>1</v>
      </c>
      <c r="D9" s="163" t="s">
        <v>246</v>
      </c>
      <c r="E9" s="164"/>
      <c r="F9" s="163" t="s">
        <v>2</v>
      </c>
      <c r="G9" s="164"/>
      <c r="H9" s="163" t="s">
        <v>245</v>
      </c>
      <c r="I9" s="164"/>
      <c r="J9" s="163" t="s">
        <v>30</v>
      </c>
      <c r="K9" s="164"/>
      <c r="L9" s="1"/>
    </row>
    <row r="10" spans="1:12" x14ac:dyDescent="0.25">
      <c r="A10" s="1"/>
      <c r="B10" s="94" t="s">
        <v>272</v>
      </c>
      <c r="C10" s="41">
        <v>0</v>
      </c>
      <c r="D10" s="9">
        <v>0</v>
      </c>
      <c r="E10" s="14" t="s">
        <v>3</v>
      </c>
      <c r="F10" s="9">
        <f>IFERROR(D10/C10,0)</f>
        <v>0</v>
      </c>
      <c r="G10" s="14" t="s">
        <v>3</v>
      </c>
      <c r="H10" s="44">
        <v>0</v>
      </c>
      <c r="I10" s="14" t="s">
        <v>3</v>
      </c>
      <c r="J10" s="44">
        <v>0</v>
      </c>
      <c r="K10" s="14" t="s">
        <v>3</v>
      </c>
      <c r="L10" s="1"/>
    </row>
    <row r="11" spans="1:12" x14ac:dyDescent="0.25">
      <c r="A11" s="1"/>
      <c r="B11" s="81" t="s">
        <v>221</v>
      </c>
      <c r="C11" s="82"/>
      <c r="D11" s="83"/>
      <c r="E11" s="83"/>
      <c r="F11" s="12">
        <f>SUM(F10:F10)</f>
        <v>0</v>
      </c>
      <c r="G11" s="12" t="s">
        <v>244</v>
      </c>
      <c r="H11" s="12">
        <f>SUM(H10:H10)</f>
        <v>0</v>
      </c>
      <c r="I11" s="12" t="s">
        <v>244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BOJLGdQwojvZrfRLQYCvJn0FHCKgwPlBXfKVz4m3PSvMRL3UxTC76aur7XPN2j1goaTYuvUQAhmGI67HDUa2eA==" saltValue="xZ23p8erl7Bj2BFGnBG0T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257</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79" t="s">
        <v>17</v>
      </c>
      <c r="C9" s="79" t="s">
        <v>11</v>
      </c>
      <c r="D9" s="80"/>
      <c r="E9" s="79" t="s">
        <v>31</v>
      </c>
      <c r="F9" s="31"/>
      <c r="G9" s="1"/>
    </row>
    <row r="10" spans="1:7" x14ac:dyDescent="0.25">
      <c r="A10" s="1"/>
      <c r="B10" s="23" t="s">
        <v>227</v>
      </c>
      <c r="C10" s="21">
        <f>'Fane 10. Anlægsprojekter (§ 19)'!H11</f>
        <v>0</v>
      </c>
      <c r="D10" s="14" t="s">
        <v>3</v>
      </c>
      <c r="E10" s="9">
        <f>SUM('Fane 10. Anlægsprojekter (§ 19)'!F11,'Fane 10. Anlægsprojekter (§ 19)'!J11)</f>
        <v>0</v>
      </c>
      <c r="F10" s="14" t="s">
        <v>3</v>
      </c>
      <c r="G10" s="1"/>
    </row>
    <row r="11" spans="1:7" x14ac:dyDescent="0.25">
      <c r="A11" s="1"/>
      <c r="B11" s="23" t="s">
        <v>269</v>
      </c>
      <c r="C11" s="21">
        <v>21233</v>
      </c>
      <c r="D11" s="14" t="s">
        <v>3</v>
      </c>
      <c r="E11" s="9">
        <v>0</v>
      </c>
      <c r="F11" s="14" t="s">
        <v>3</v>
      </c>
      <c r="G11" s="1"/>
    </row>
    <row r="12" spans="1:7" x14ac:dyDescent="0.25">
      <c r="A12" s="1"/>
      <c r="B12" s="32" t="s">
        <v>156</v>
      </c>
      <c r="C12" s="12">
        <f>SUM(C10:C11)</f>
        <v>21233</v>
      </c>
      <c r="D12" s="13" t="s">
        <v>3</v>
      </c>
      <c r="E12" s="12">
        <f>SUM(E10:E11)</f>
        <v>0</v>
      </c>
      <c r="F12" s="13" t="s">
        <v>3</v>
      </c>
      <c r="G12" s="1"/>
    </row>
    <row r="13" spans="1:7" x14ac:dyDescent="0.25">
      <c r="A13" s="1"/>
      <c r="B13" s="32" t="s">
        <v>213</v>
      </c>
      <c r="C13" s="12">
        <f>C12*(1+'Fane 15. Nøgletal'!C15)</f>
        <v>21988.894800000002</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RUCJBZFByMzKygLi2TD35x07paxxocasnh/RfyNQ6D2d0L3I2Qsb+CcZppdNhqv0UoVv9gkwTt5LQuTAP/2iA==" saltValue="88QdHvI5DolEUd4Wfm6t/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258</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97</v>
      </c>
      <c r="C8" s="133"/>
      <c r="D8" s="133"/>
      <c r="E8" s="133"/>
      <c r="F8" s="134"/>
      <c r="G8" s="1"/>
    </row>
    <row r="9" spans="1:7" x14ac:dyDescent="0.25">
      <c r="A9" s="1"/>
      <c r="B9" s="79" t="s">
        <v>17</v>
      </c>
      <c r="C9" s="79" t="s">
        <v>11</v>
      </c>
      <c r="D9" s="80"/>
      <c r="E9" s="79" t="s">
        <v>31</v>
      </c>
      <c r="F9" s="31"/>
      <c r="G9" s="1"/>
    </row>
    <row r="10" spans="1:7" x14ac:dyDescent="0.25">
      <c r="A10" s="1"/>
      <c r="B10" s="23" t="s">
        <v>269</v>
      </c>
      <c r="C10" s="21">
        <v>169860</v>
      </c>
      <c r="D10" s="14" t="s">
        <v>3</v>
      </c>
      <c r="E10" s="9">
        <v>0</v>
      </c>
      <c r="F10" s="14" t="s">
        <v>3</v>
      </c>
      <c r="G10" s="1"/>
    </row>
    <row r="11" spans="1:7" x14ac:dyDescent="0.25">
      <c r="A11" s="1"/>
      <c r="B11" s="32" t="s">
        <v>233</v>
      </c>
      <c r="C11" s="12">
        <f>SUM(C10:C10)</f>
        <v>169860</v>
      </c>
      <c r="D11" s="13" t="s">
        <v>3</v>
      </c>
      <c r="E11" s="12">
        <f>SUM(E10:E10)</f>
        <v>0</v>
      </c>
      <c r="F11" s="13" t="s">
        <v>3</v>
      </c>
      <c r="G11" s="1"/>
    </row>
    <row r="12" spans="1:7" x14ac:dyDescent="0.25">
      <c r="A12" s="1"/>
      <c r="B12" s="32" t="s">
        <v>136</v>
      </c>
      <c r="C12" s="12">
        <f>C11*(1+'Fane 15. Nøgletal'!C15)^2</f>
        <v>182169.3057696</v>
      </c>
      <c r="D12" s="13" t="s">
        <v>3</v>
      </c>
      <c r="E12" s="12">
        <f>E11*(1+'Fane 15. Nøgletal'!C15)^2</f>
        <v>0</v>
      </c>
      <c r="F12" s="13" t="s">
        <v>3</v>
      </c>
      <c r="G12" s="1"/>
    </row>
    <row r="13" spans="1:7" x14ac:dyDescent="0.25">
      <c r="A13" s="1"/>
      <c r="B13" s="1"/>
      <c r="C13" s="1"/>
      <c r="D13" s="1"/>
      <c r="E13" s="1"/>
      <c r="F13" s="1"/>
      <c r="G13" s="1"/>
    </row>
    <row r="14" spans="1:7" x14ac:dyDescent="0.25">
      <c r="A14" s="1"/>
      <c r="B14" s="165"/>
      <c r="C14" s="165"/>
      <c r="D14" s="165"/>
      <c r="E14" s="165"/>
      <c r="F14" s="165"/>
      <c r="G14" s="1"/>
    </row>
    <row r="15" spans="1:7" x14ac:dyDescent="0.25">
      <c r="A15" s="1"/>
      <c r="B15" s="56"/>
      <c r="C15" s="56"/>
      <c r="D15" s="56"/>
      <c r="E15" s="56"/>
      <c r="F15" s="57"/>
      <c r="G15" s="1"/>
    </row>
    <row r="16" spans="1:7" x14ac:dyDescent="0.25">
      <c r="A16" s="1"/>
      <c r="B16" s="58"/>
      <c r="C16" s="59"/>
      <c r="D16" s="60"/>
      <c r="E16" s="61"/>
      <c r="F16" s="60"/>
      <c r="G16" s="1"/>
    </row>
    <row r="17" spans="1:7" x14ac:dyDescent="0.25">
      <c r="A17" s="1"/>
      <c r="B17" s="58"/>
      <c r="C17" s="59"/>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5"/>
      <c r="C21" s="165"/>
      <c r="D21" s="165"/>
      <c r="E21" s="165"/>
      <c r="F21" s="165"/>
      <c r="G21" s="1"/>
    </row>
    <row r="22" spans="1:7" x14ac:dyDescent="0.25">
      <c r="A22" s="1"/>
      <c r="B22" s="56"/>
      <c r="C22" s="56"/>
      <c r="D22" s="56"/>
      <c r="E22" s="56"/>
      <c r="F22" s="57"/>
      <c r="G22" s="1"/>
    </row>
    <row r="23" spans="1:7" x14ac:dyDescent="0.25">
      <c r="A23" s="1"/>
      <c r="B23" s="58"/>
      <c r="C23" s="59"/>
      <c r="D23" s="60"/>
      <c r="E23" s="61"/>
      <c r="F23" s="60"/>
      <c r="G23" s="1"/>
    </row>
    <row r="24" spans="1:7" x14ac:dyDescent="0.25">
      <c r="A24" s="1"/>
      <c r="B24" s="58"/>
      <c r="C24" s="59"/>
      <c r="D24" s="60"/>
      <c r="E24" s="61"/>
      <c r="F24" s="60"/>
      <c r="G24" s="1"/>
    </row>
    <row r="25" spans="1:7" x14ac:dyDescent="0.25">
      <c r="A25" s="1"/>
      <c r="B25" s="62"/>
      <c r="C25" s="63"/>
      <c r="D25" s="64"/>
      <c r="E25" s="63"/>
      <c r="F25" s="64"/>
      <c r="G25" s="1"/>
    </row>
    <row r="26" spans="1:7" x14ac:dyDescent="0.25">
      <c r="A26" s="1"/>
      <c r="B26" s="62"/>
      <c r="C26" s="63"/>
      <c r="D26" s="64"/>
      <c r="E26" s="63"/>
      <c r="F26" s="64"/>
      <c r="G26" s="1"/>
    </row>
    <row r="27" spans="1:7" x14ac:dyDescent="0.25">
      <c r="A27" s="1"/>
      <c r="B27" s="55"/>
      <c r="C27" s="55"/>
      <c r="D27" s="55"/>
      <c r="E27" s="55"/>
      <c r="F27" s="55"/>
      <c r="G27" s="1"/>
    </row>
    <row r="28" spans="1:7" x14ac:dyDescent="0.25">
      <c r="A28" s="1"/>
      <c r="B28" s="165"/>
      <c r="C28" s="165"/>
      <c r="D28" s="165"/>
      <c r="E28" s="165"/>
      <c r="F28" s="165"/>
      <c r="G28" s="1"/>
    </row>
    <row r="29" spans="1:7" x14ac:dyDescent="0.25">
      <c r="A29" s="1"/>
      <c r="B29" s="56"/>
      <c r="C29" s="56"/>
      <c r="D29" s="56"/>
      <c r="E29" s="56"/>
      <c r="F29" s="57"/>
      <c r="G29" s="1"/>
    </row>
    <row r="30" spans="1:7" x14ac:dyDescent="0.25">
      <c r="A30" s="1"/>
      <c r="B30" s="58"/>
      <c r="C30" s="59"/>
      <c r="D30" s="60"/>
      <c r="E30" s="61"/>
      <c r="F30" s="60"/>
      <c r="G30" s="1"/>
    </row>
    <row r="31" spans="1:7" x14ac:dyDescent="0.25">
      <c r="A31" s="1"/>
      <c r="B31" s="58"/>
      <c r="C31" s="59"/>
      <c r="D31" s="60"/>
      <c r="E31" s="61"/>
      <c r="F31" s="60"/>
      <c r="G31" s="1"/>
    </row>
    <row r="32" spans="1:7" x14ac:dyDescent="0.25">
      <c r="A32" s="1"/>
      <c r="B32" s="62"/>
      <c r="C32" s="63"/>
      <c r="D32" s="64"/>
      <c r="E32" s="63"/>
      <c r="F32" s="64"/>
      <c r="G32" s="1"/>
    </row>
    <row r="33" spans="1:7" x14ac:dyDescent="0.25">
      <c r="A33" s="1"/>
      <c r="B33" s="62"/>
      <c r="C33" s="63"/>
      <c r="D33" s="64"/>
      <c r="E33" s="63"/>
      <c r="F33" s="64"/>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kYoaTAgvyFqI3zgu3bmXEJ9OQOgEg4BZY6TILBUHrqlaUGfa9G0tUL/v0yJzlbdBVsOeS7I/irX57yWfx37RWQ==" saltValue="19ZgaZkrPnm5OnrZQUk24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259</v>
      </c>
      <c r="C3" s="125"/>
      <c r="D3" s="125"/>
      <c r="E3" s="125"/>
      <c r="F3" s="125"/>
      <c r="G3" s="1"/>
    </row>
    <row r="4" spans="1:7" ht="15" customHeight="1" x14ac:dyDescent="0.25">
      <c r="A4" s="1"/>
      <c r="B4" s="125"/>
      <c r="C4" s="125"/>
      <c r="D4" s="125"/>
      <c r="E4" s="125"/>
      <c r="F4" s="125"/>
      <c r="G4" s="1"/>
    </row>
    <row r="5" spans="1:7" x14ac:dyDescent="0.25">
      <c r="A5" s="1"/>
      <c r="B5" s="125"/>
      <c r="C5" s="125"/>
      <c r="D5" s="125"/>
      <c r="E5" s="125"/>
      <c r="F5" s="12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2" t="s">
        <v>91</v>
      </c>
      <c r="C9" s="133"/>
      <c r="D9" s="133"/>
      <c r="E9" s="133"/>
      <c r="F9" s="134"/>
      <c r="G9" s="1"/>
    </row>
    <row r="10" spans="1:7" x14ac:dyDescent="0.25">
      <c r="A10" s="1"/>
      <c r="B10" s="160" t="s">
        <v>225</v>
      </c>
      <c r="C10" s="161"/>
      <c r="D10" s="162"/>
      <c r="E10" s="9">
        <v>424416.05401110341</v>
      </c>
      <c r="F10" s="14" t="s">
        <v>3</v>
      </c>
      <c r="G10" s="1"/>
    </row>
    <row r="11" spans="1:7" x14ac:dyDescent="0.25">
      <c r="A11" s="1"/>
      <c r="B11" s="126" t="s">
        <v>10</v>
      </c>
      <c r="C11" s="127"/>
      <c r="D11" s="128"/>
      <c r="E11" s="9">
        <f>-E10*'Fane 5. Individuelt eff. krav'!G9</f>
        <v>-460.05727918333986</v>
      </c>
      <c r="F11" s="14" t="s">
        <v>3</v>
      </c>
      <c r="G11" s="1"/>
    </row>
    <row r="12" spans="1:7" x14ac:dyDescent="0.25">
      <c r="A12" s="1"/>
      <c r="B12" s="126" t="s">
        <v>24</v>
      </c>
      <c r="C12" s="127"/>
      <c r="D12" s="128"/>
      <c r="E12" s="9">
        <f>-E10*'Fane 15. Nøgletal'!C31</f>
        <v>-8488.3210802220674</v>
      </c>
      <c r="F12" s="14" t="s">
        <v>3</v>
      </c>
      <c r="G12" s="1"/>
    </row>
    <row r="13" spans="1:7" x14ac:dyDescent="0.25">
      <c r="A13" s="1"/>
      <c r="B13" s="132" t="s">
        <v>92</v>
      </c>
      <c r="C13" s="133"/>
      <c r="D13" s="134"/>
      <c r="E13" s="12">
        <f>SUM(E10:E12)*(1+'Fane 15. Nøgletal'!C15)^2</f>
        <v>445575.52127151284</v>
      </c>
      <c r="F13" s="13" t="s">
        <v>3</v>
      </c>
      <c r="G13" s="1"/>
    </row>
    <row r="14" spans="1:7" x14ac:dyDescent="0.25">
      <c r="A14" s="1"/>
      <c r="B14" s="1"/>
      <c r="C14" s="1"/>
      <c r="D14" s="1"/>
      <c r="E14" s="1"/>
      <c r="F14" s="1"/>
      <c r="G14" s="1"/>
    </row>
    <row r="15" spans="1:7" ht="15" customHeight="1" x14ac:dyDescent="0.25">
      <c r="A15" s="1"/>
      <c r="B15" s="132" t="s">
        <v>130</v>
      </c>
      <c r="C15" s="133"/>
      <c r="D15" s="133"/>
      <c r="E15" s="133"/>
      <c r="F15" s="134"/>
      <c r="G15" s="1"/>
    </row>
    <row r="16" spans="1:7" x14ac:dyDescent="0.25">
      <c r="A16" s="1"/>
      <c r="B16" s="160" t="s">
        <v>225</v>
      </c>
      <c r="C16" s="161"/>
      <c r="D16" s="162"/>
      <c r="E16" s="9">
        <v>424416.05401110341</v>
      </c>
      <c r="F16" s="14" t="s">
        <v>3</v>
      </c>
      <c r="G16" s="1"/>
    </row>
    <row r="17" spans="1:7" x14ac:dyDescent="0.25">
      <c r="A17" s="1"/>
      <c r="B17" s="126" t="s">
        <v>10</v>
      </c>
      <c r="C17" s="127"/>
      <c r="D17" s="128"/>
      <c r="E17" s="9">
        <f>-E16*'Fane 5. Individuelt eff. krav'!G9</f>
        <v>-460.05727918333986</v>
      </c>
      <c r="F17" s="14" t="s">
        <v>3</v>
      </c>
      <c r="G17" s="1"/>
    </row>
    <row r="18" spans="1:7" x14ac:dyDescent="0.25">
      <c r="A18" s="1"/>
      <c r="B18" s="126" t="s">
        <v>24</v>
      </c>
      <c r="C18" s="127"/>
      <c r="D18" s="128"/>
      <c r="E18" s="9">
        <f>-E16*'Fane 15. Nøgletal'!C31</f>
        <v>-8488.3210802220674</v>
      </c>
      <c r="F18" s="14" t="s">
        <v>3</v>
      </c>
      <c r="G18" s="1"/>
    </row>
    <row r="19" spans="1:7" x14ac:dyDescent="0.25">
      <c r="A19" s="1"/>
      <c r="B19" s="132" t="s">
        <v>131</v>
      </c>
      <c r="C19" s="133"/>
      <c r="D19" s="134"/>
      <c r="E19" s="12">
        <f>SUM(E16:E18)*(1+'Fane 15. Nøgletal'!C15)^3</f>
        <v>461438.00982877874</v>
      </c>
      <c r="F19" s="13" t="s">
        <v>3</v>
      </c>
      <c r="G19" s="1"/>
    </row>
    <row r="20" spans="1:7" x14ac:dyDescent="0.25">
      <c r="A20" s="1"/>
      <c r="B20" s="1"/>
      <c r="C20" s="1"/>
      <c r="D20" s="1"/>
      <c r="E20" s="1"/>
      <c r="F20" s="1"/>
      <c r="G20" s="1"/>
    </row>
    <row r="21" spans="1:7" ht="15" customHeight="1" x14ac:dyDescent="0.25">
      <c r="A21" s="1"/>
      <c r="B21" s="132" t="s">
        <v>157</v>
      </c>
      <c r="C21" s="133"/>
      <c r="D21" s="133"/>
      <c r="E21" s="133"/>
      <c r="F21" s="134"/>
      <c r="G21" s="1"/>
    </row>
    <row r="22" spans="1:7" x14ac:dyDescent="0.25">
      <c r="A22" s="1"/>
      <c r="B22" s="160" t="s">
        <v>225</v>
      </c>
      <c r="C22" s="161"/>
      <c r="D22" s="162"/>
      <c r="E22" s="9">
        <v>424416.05401110341</v>
      </c>
      <c r="F22" s="14" t="s">
        <v>3</v>
      </c>
      <c r="G22" s="1"/>
    </row>
    <row r="23" spans="1:7" x14ac:dyDescent="0.25">
      <c r="A23" s="1"/>
      <c r="B23" s="126" t="s">
        <v>10</v>
      </c>
      <c r="C23" s="127"/>
      <c r="D23" s="128"/>
      <c r="E23" s="9">
        <f>-E22*'Fane 5. Individuelt eff. krav'!G9</f>
        <v>-460.05727918333986</v>
      </c>
      <c r="F23" s="14" t="s">
        <v>3</v>
      </c>
      <c r="G23" s="1"/>
    </row>
    <row r="24" spans="1:7" x14ac:dyDescent="0.25">
      <c r="A24" s="1"/>
      <c r="B24" s="126" t="s">
        <v>24</v>
      </c>
      <c r="C24" s="127"/>
      <c r="D24" s="128"/>
      <c r="E24" s="9">
        <f>-E22*'Fane 15. Nøgletal'!C31</f>
        <v>-8488.3210802220674</v>
      </c>
      <c r="F24" s="14" t="s">
        <v>3</v>
      </c>
      <c r="G24" s="1"/>
    </row>
    <row r="25" spans="1:7" x14ac:dyDescent="0.25">
      <c r="A25" s="1"/>
      <c r="B25" s="132" t="s">
        <v>158</v>
      </c>
      <c r="C25" s="133"/>
      <c r="D25" s="134"/>
      <c r="E25" s="12">
        <f>SUM(E22:E24)*(1+'Fane 15. Nøgletal'!C15)^4</f>
        <v>477865.20297868329</v>
      </c>
      <c r="F25" s="13" t="s">
        <v>3</v>
      </c>
      <c r="G25" s="1"/>
    </row>
    <row r="26" spans="1:7" x14ac:dyDescent="0.25">
      <c r="A26" s="1"/>
      <c r="B26" s="1"/>
      <c r="C26" s="1"/>
      <c r="D26" s="1"/>
      <c r="E26" s="1"/>
      <c r="F26" s="1"/>
      <c r="G26" s="1"/>
    </row>
    <row r="27" spans="1:7" ht="15" customHeight="1" x14ac:dyDescent="0.25">
      <c r="A27" s="1"/>
      <c r="B27" s="132" t="s">
        <v>214</v>
      </c>
      <c r="C27" s="133"/>
      <c r="D27" s="133"/>
      <c r="E27" s="133"/>
      <c r="F27" s="134"/>
      <c r="G27" s="1"/>
    </row>
    <row r="28" spans="1:7" ht="14.25" customHeight="1" x14ac:dyDescent="0.25">
      <c r="A28" s="1"/>
      <c r="B28" s="160" t="s">
        <v>225</v>
      </c>
      <c r="C28" s="161"/>
      <c r="D28" s="162"/>
      <c r="E28" s="9">
        <v>424416.05401110341</v>
      </c>
      <c r="F28" s="14" t="s">
        <v>3</v>
      </c>
      <c r="G28" s="1"/>
    </row>
    <row r="29" spans="1:7" x14ac:dyDescent="0.25">
      <c r="A29" s="1"/>
      <c r="B29" s="126" t="s">
        <v>10</v>
      </c>
      <c r="C29" s="127"/>
      <c r="D29" s="128"/>
      <c r="E29" s="9">
        <f>-E28*'Fane 5. Individuelt eff. krav'!G9</f>
        <v>-460.05727918333986</v>
      </c>
      <c r="F29" s="14" t="s">
        <v>3</v>
      </c>
      <c r="G29" s="1"/>
    </row>
    <row r="30" spans="1:7" x14ac:dyDescent="0.25">
      <c r="A30" s="1"/>
      <c r="B30" s="126" t="s">
        <v>24</v>
      </c>
      <c r="C30" s="127"/>
      <c r="D30" s="128"/>
      <c r="E30" s="9">
        <f>-E28*'Fane 15. Nøgletal'!C31</f>
        <v>-8488.3210802220674</v>
      </c>
      <c r="F30" s="14" t="s">
        <v>3</v>
      </c>
      <c r="G30" s="1"/>
    </row>
    <row r="31" spans="1:7" x14ac:dyDescent="0.25">
      <c r="A31" s="1"/>
      <c r="B31" s="132" t="s">
        <v>215</v>
      </c>
      <c r="C31" s="133"/>
      <c r="D31" s="134"/>
      <c r="E31" s="12">
        <f>SUM(E28:E30)*(1+'Fane 15. Nøgletal'!C15)^5</f>
        <v>494877.2042047244</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fR0yvUoSeNe5SxeQ5NkAWx9wVSz0QhpSjnnAoiA22E1wsbGHex2wWnAlRhpXDUzGiZFP7FjSmSzRAlOP5lbxw==" saltValue="SZiLrZpg9nYCLxafSA8TL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3.28515625" style="2" customWidth="1"/>
    <col min="2" max="2" width="40.28515625" style="2" customWidth="1"/>
    <col min="3" max="3" width="15.5703125" style="2" customWidth="1"/>
    <col min="4" max="4" width="3.28515625" style="2" customWidth="1"/>
    <col min="5" max="5" width="17.140625" style="2" customWidth="1"/>
    <col min="6" max="7" width="3.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260</v>
      </c>
      <c r="C3" s="125"/>
      <c r="D3" s="125"/>
      <c r="E3" s="125"/>
      <c r="F3" s="125"/>
      <c r="G3" s="1"/>
    </row>
    <row r="4" spans="1:7" ht="25.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132</v>
      </c>
      <c r="C8" s="133"/>
      <c r="D8" s="133"/>
      <c r="E8" s="133"/>
      <c r="F8" s="134"/>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AifMbKmZ4So4yscNsH//IzT/Mevl5ZWPzeAsoFL1nuts/lerzs7ufIQufEQ9cXbydjAqnG5kyKARZJvMbs5VUQ==" saltValue="fzfXaogVEfudEUVRmIpye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261</v>
      </c>
      <c r="C3" s="125"/>
      <c r="D3" s="125"/>
      <c r="E3" s="125"/>
      <c r="F3" s="125"/>
      <c r="G3" s="1"/>
    </row>
    <row r="4" spans="1:7" ht="25.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93</v>
      </c>
      <c r="C9" s="133"/>
      <c r="D9" s="133"/>
      <c r="E9" s="133"/>
      <c r="F9" s="134"/>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235</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5"/>
      <c r="C15" s="165"/>
      <c r="D15" s="165"/>
      <c r="E15" s="165"/>
      <c r="F15" s="165"/>
      <c r="G15" s="1"/>
    </row>
    <row r="16" spans="1:7" x14ac:dyDescent="0.25">
      <c r="A16" s="1"/>
      <c r="B16" s="57"/>
      <c r="C16" s="57"/>
      <c r="D16" s="57"/>
      <c r="E16" s="57"/>
      <c r="F16" s="57"/>
      <c r="G16" s="1"/>
    </row>
    <row r="17" spans="1:7" x14ac:dyDescent="0.25">
      <c r="A17" s="1"/>
      <c r="B17" s="58"/>
      <c r="C17" s="61"/>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5"/>
      <c r="C21" s="165"/>
      <c r="D21" s="165"/>
      <c r="E21" s="165"/>
      <c r="F21" s="165"/>
      <c r="G21" s="1"/>
    </row>
    <row r="22" spans="1:7" x14ac:dyDescent="0.25">
      <c r="A22" s="1"/>
      <c r="B22" s="57"/>
      <c r="C22" s="57"/>
      <c r="D22" s="57"/>
      <c r="E22" s="57"/>
      <c r="F22" s="57"/>
      <c r="G22" s="1"/>
    </row>
    <row r="23" spans="1:7" x14ac:dyDescent="0.25">
      <c r="A23" s="1"/>
      <c r="B23" s="58"/>
      <c r="C23" s="61"/>
      <c r="D23" s="60"/>
      <c r="E23" s="61"/>
      <c r="F23" s="60"/>
      <c r="G23" s="1"/>
    </row>
    <row r="24" spans="1:7" x14ac:dyDescent="0.25">
      <c r="A24" s="1"/>
      <c r="B24" s="62"/>
      <c r="C24" s="63"/>
      <c r="D24" s="64"/>
      <c r="E24" s="63"/>
      <c r="F24" s="64"/>
      <c r="G24" s="1"/>
    </row>
    <row r="25" spans="1:7" x14ac:dyDescent="0.25">
      <c r="A25" s="1"/>
      <c r="B25" s="62"/>
      <c r="C25" s="63"/>
      <c r="D25" s="64"/>
      <c r="E25" s="63"/>
      <c r="F25" s="64"/>
      <c r="G25" s="1"/>
    </row>
    <row r="26" spans="1:7" x14ac:dyDescent="0.25">
      <c r="A26" s="1"/>
      <c r="B26" s="55"/>
      <c r="C26" s="55"/>
      <c r="D26" s="55"/>
      <c r="E26" s="55"/>
      <c r="F26" s="55"/>
      <c r="G26" s="1"/>
    </row>
    <row r="27" spans="1:7" x14ac:dyDescent="0.25">
      <c r="A27" s="1"/>
      <c r="B27" s="165"/>
      <c r="C27" s="165"/>
      <c r="D27" s="165"/>
      <c r="E27" s="165"/>
      <c r="F27" s="165"/>
      <c r="G27" s="1"/>
    </row>
    <row r="28" spans="1:7" x14ac:dyDescent="0.25">
      <c r="A28" s="1"/>
      <c r="B28" s="57"/>
      <c r="C28" s="57"/>
      <c r="D28" s="57"/>
      <c r="E28" s="57"/>
      <c r="F28" s="57"/>
      <c r="G28" s="1"/>
    </row>
    <row r="29" spans="1:7" x14ac:dyDescent="0.25">
      <c r="A29" s="1"/>
      <c r="B29" s="58"/>
      <c r="C29" s="61"/>
      <c r="D29" s="60"/>
      <c r="E29" s="61"/>
      <c r="F29" s="60"/>
      <c r="G29" s="1"/>
    </row>
    <row r="30" spans="1:7" x14ac:dyDescent="0.25">
      <c r="A30" s="1"/>
      <c r="B30" s="62"/>
      <c r="C30" s="63"/>
      <c r="D30" s="64"/>
      <c r="E30" s="63"/>
      <c r="F30" s="64"/>
      <c r="G30" s="1"/>
    </row>
    <row r="31" spans="1:7" x14ac:dyDescent="0.25">
      <c r="A31" s="1"/>
      <c r="B31" s="62"/>
      <c r="C31" s="63"/>
      <c r="D31" s="64"/>
      <c r="E31" s="63"/>
      <c r="F31" s="64"/>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mnU5zbaOc1RHu4nyAdhqVIiSXN3SH300wtnmx4KotthzbAKg6sYXflFaRfl5e2uWcz84YBmO2QOAN5Y2hayIMA==" saltValue="GixUHPSQcGk8NNxJIqiaR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181</v>
      </c>
      <c r="C3" s="120"/>
      <c r="D3" s="120"/>
      <c r="E3" s="1"/>
    </row>
    <row r="4" spans="1:5" ht="15" customHeight="1" x14ac:dyDescent="0.25">
      <c r="A4" s="1"/>
      <c r="B4" s="120"/>
      <c r="C4" s="120"/>
      <c r="D4" s="12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32088337.143092584</v>
      </c>
      <c r="D9" s="8" t="s">
        <v>3</v>
      </c>
      <c r="E9" s="1"/>
    </row>
    <row r="10" spans="1:5" ht="17.25" customHeight="1" x14ac:dyDescent="0.25">
      <c r="A10" s="1"/>
      <c r="B10" s="78" t="s">
        <v>39</v>
      </c>
      <c r="C10" s="7">
        <f>'Fane 11.1. Varige tillæg'!C13</f>
        <v>21988.894800000002</v>
      </c>
      <c r="D10" s="8" t="s">
        <v>3</v>
      </c>
      <c r="E10" s="1"/>
    </row>
    <row r="11" spans="1:5" ht="17.25" customHeight="1" x14ac:dyDescent="0.25">
      <c r="A11" s="1"/>
      <c r="B11" s="78" t="s">
        <v>40</v>
      </c>
      <c r="C11" s="9">
        <f>'Fane 11.1. Varige tillæg'!E13</f>
        <v>0</v>
      </c>
      <c r="D11" s="8" t="s">
        <v>3</v>
      </c>
      <c r="E11" s="1"/>
    </row>
    <row r="12" spans="1:5" ht="17.25" customHeight="1" x14ac:dyDescent="0.25">
      <c r="A12" s="1"/>
      <c r="B12" s="78" t="s">
        <v>27</v>
      </c>
      <c r="C12" s="9">
        <f>-'Fane 14. Bortfald'!C13</f>
        <v>0</v>
      </c>
      <c r="D12" s="8" t="s">
        <v>3</v>
      </c>
      <c r="E12" s="1"/>
    </row>
    <row r="13" spans="1:5" ht="17.25" customHeight="1" x14ac:dyDescent="0.25">
      <c r="A13" s="1"/>
      <c r="B13" s="78" t="s">
        <v>26</v>
      </c>
      <c r="C13" s="9">
        <f>-'Fane 14. Bortfald'!E13</f>
        <v>0</v>
      </c>
      <c r="D13" s="8" t="s">
        <v>3</v>
      </c>
      <c r="E13" s="1"/>
    </row>
    <row r="14" spans="1:5" ht="17.25" customHeight="1" x14ac:dyDescent="0.25">
      <c r="A14" s="1"/>
      <c r="B14" s="78" t="s">
        <v>124</v>
      </c>
      <c r="C14" s="9">
        <f>'Fane 13. Tilknyttet virksomhed'!C12</f>
        <v>0</v>
      </c>
      <c r="D14" s="8" t="s">
        <v>3</v>
      </c>
      <c r="E14" s="1"/>
    </row>
    <row r="15" spans="1:5" ht="17.25" customHeight="1" x14ac:dyDescent="0.25">
      <c r="A15" s="1"/>
      <c r="B15" s="78" t="s">
        <v>125</v>
      </c>
      <c r="C15" s="9">
        <f>'Fane 13. Tilknyttet virksomhed'!E12</f>
        <v>0</v>
      </c>
      <c r="D15" s="8" t="s">
        <v>3</v>
      </c>
      <c r="E15" s="1"/>
    </row>
    <row r="16" spans="1:5" ht="17.25" customHeight="1" x14ac:dyDescent="0.25">
      <c r="A16" s="1"/>
      <c r="B16" s="78" t="s">
        <v>19</v>
      </c>
      <c r="C16" s="44">
        <f>SUM(C9)*'Fane 15. Nøgletal'!C14+SUM(C10:C15)*'Fane 15. Nøgletal'!C15</f>
        <v>106674.31722708553</v>
      </c>
      <c r="D16" s="8" t="s">
        <v>3</v>
      </c>
      <c r="E16" s="1"/>
    </row>
    <row r="17" spans="1:5" ht="17.25" customHeight="1" x14ac:dyDescent="0.25">
      <c r="A17" s="1"/>
      <c r="B17" s="78" t="s">
        <v>10</v>
      </c>
      <c r="C17" s="44">
        <f>-SUM(C9,C10:C16)*'Fane 5. Individuelt eff. krav'!G9</f>
        <v>-34922.490294010626</v>
      </c>
      <c r="D17" s="8" t="s">
        <v>3</v>
      </c>
      <c r="E17" s="1"/>
    </row>
    <row r="18" spans="1:5" ht="17.25" customHeight="1" x14ac:dyDescent="0.25">
      <c r="A18" s="1"/>
      <c r="B18" s="78" t="s">
        <v>24</v>
      </c>
      <c r="C18" s="44">
        <f>-'Fane 4.1. Gen. krav - drift'!G45</f>
        <v>-417318.03815273731</v>
      </c>
      <c r="D18" s="8" t="s">
        <v>3</v>
      </c>
      <c r="E18" s="1"/>
    </row>
    <row r="19" spans="1:5" ht="17.25" customHeight="1" x14ac:dyDescent="0.25">
      <c r="A19" s="1"/>
      <c r="B19" s="78" t="s">
        <v>25</v>
      </c>
      <c r="C19" s="44">
        <f>-'Fane 4.2. Gen. krav - anlæg'!G43</f>
        <v>-169220.94234639927</v>
      </c>
      <c r="D19" s="8" t="s">
        <v>3</v>
      </c>
      <c r="E19" s="47"/>
    </row>
    <row r="20" spans="1:5" ht="17.25" customHeight="1" x14ac:dyDescent="0.25">
      <c r="A20" s="1"/>
      <c r="B20" s="84" t="s">
        <v>21</v>
      </c>
      <c r="C20" s="10">
        <f>SUM(C9:C19)</f>
        <v>31595538.884326525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1610685.1046160001</v>
      </c>
      <c r="D22" s="11" t="s">
        <v>3</v>
      </c>
      <c r="E22" s="1"/>
    </row>
    <row r="23" spans="1:5" ht="15" customHeight="1" x14ac:dyDescent="0.25">
      <c r="A23" s="1"/>
      <c r="B23" s="32" t="s">
        <v>86</v>
      </c>
      <c r="C23" s="27"/>
      <c r="D23" s="19"/>
      <c r="E23" s="1"/>
    </row>
    <row r="24" spans="1:5" ht="15" customHeight="1" x14ac:dyDescent="0.25">
      <c r="A24" s="1"/>
      <c r="B24" s="84" t="s">
        <v>86</v>
      </c>
      <c r="C24" s="10">
        <f>'Fane 12. Periodevise driftsomk.'!E13</f>
        <v>445575.52127151284</v>
      </c>
      <c r="D24" s="11" t="s">
        <v>3</v>
      </c>
      <c r="E24" s="1"/>
    </row>
    <row r="25" spans="1:5" ht="15" customHeight="1" x14ac:dyDescent="0.25">
      <c r="A25" s="1"/>
      <c r="B25" s="91" t="s">
        <v>85</v>
      </c>
      <c r="C25" s="45"/>
      <c r="D25" s="46"/>
      <c r="E25" s="1"/>
    </row>
    <row r="26" spans="1:5" ht="15" customHeight="1" x14ac:dyDescent="0.25">
      <c r="A26" s="1"/>
      <c r="B26" s="78" t="s">
        <v>232</v>
      </c>
      <c r="C26" s="71">
        <f>'Fane 11.2. Engangstillæg'!C12</f>
        <v>182169.3057696</v>
      </c>
      <c r="D26" s="8" t="s">
        <v>3</v>
      </c>
      <c r="E26" s="1"/>
    </row>
    <row r="27" spans="1:5" ht="15" customHeight="1" x14ac:dyDescent="0.25">
      <c r="A27" s="1"/>
      <c r="B27" s="78" t="s">
        <v>82</v>
      </c>
      <c r="C27" s="71">
        <f>'Fane 11.2. Engangstillæg'!E12</f>
        <v>0</v>
      </c>
      <c r="D27" s="8" t="s">
        <v>3</v>
      </c>
      <c r="E27" s="1"/>
    </row>
    <row r="28" spans="1:5" ht="15" customHeight="1" x14ac:dyDescent="0.25">
      <c r="A28" s="1"/>
      <c r="B28" s="78" t="s">
        <v>239</v>
      </c>
      <c r="C28" s="71">
        <f>-C26*('Fane 15. Nøgletal'!C31+'Fane 5. Individuelt eff. krav'!G9)</f>
        <v>-3840.8534693504989</v>
      </c>
      <c r="D28" s="8" t="s">
        <v>3</v>
      </c>
      <c r="E28" s="1"/>
    </row>
    <row r="29" spans="1:5" ht="15" customHeight="1" x14ac:dyDescent="0.25">
      <c r="A29" s="1"/>
      <c r="B29" s="78" t="s">
        <v>240</v>
      </c>
      <c r="C29" s="71">
        <f>-C27*('Fane 15. Nøgletal'!C26+'Fane 5. Individuelt eff. krav'!G9)</f>
        <v>0</v>
      </c>
      <c r="D29" s="8" t="s">
        <v>3</v>
      </c>
      <c r="E29" s="1"/>
    </row>
    <row r="30" spans="1:5" ht="15" customHeight="1" x14ac:dyDescent="0.25">
      <c r="A30" s="1"/>
      <c r="B30" s="92" t="s">
        <v>87</v>
      </c>
      <c r="C30" s="10">
        <f>SUM(C26:C29)</f>
        <v>178328.45230024951</v>
      </c>
      <c r="D30" s="11" t="s">
        <v>3</v>
      </c>
      <c r="E30" s="1"/>
    </row>
    <row r="31" spans="1:5" x14ac:dyDescent="0.25">
      <c r="A31" s="1"/>
      <c r="B31" s="32" t="s">
        <v>143</v>
      </c>
      <c r="C31" s="27"/>
      <c r="D31" s="19"/>
      <c r="E31" s="1"/>
    </row>
    <row r="32" spans="1:5" x14ac:dyDescent="0.25">
      <c r="A32" s="1"/>
      <c r="B32" s="30" t="s">
        <v>180</v>
      </c>
      <c r="C32" s="10">
        <f>'Fane 7. Kontrol af ØR2021'!E28</f>
        <v>-211170.27085499465</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2" t="s">
        <v>176</v>
      </c>
      <c r="C36" s="10">
        <f>'Fane 8. Skattesagen'!G12</f>
        <v>0</v>
      </c>
      <c r="D36" s="11" t="s">
        <v>3</v>
      </c>
      <c r="E36" s="1"/>
    </row>
    <row r="37" spans="1:5" x14ac:dyDescent="0.25">
      <c r="A37" s="1"/>
      <c r="B37" s="32" t="s">
        <v>90</v>
      </c>
      <c r="C37" s="53">
        <f>SUM(C34,C32,C24,C30,C22,C20,C36)</f>
        <v>33618957.691659294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Bln7mUMMHOwqcf0XSlpPO2SM/x4HSHBqOeCD0f3W3DB4OkKelBWHkamCc1eL3gmh14IdAkr0SYsul4kCArh2w==" saltValue="5l2M0914h2LfgLLo9OHpZ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5" t="s">
        <v>262</v>
      </c>
      <c r="C3" s="125"/>
      <c r="D3" s="1"/>
    </row>
    <row r="4" spans="1:4" ht="25.5" customHeight="1" x14ac:dyDescent="0.25">
      <c r="A4" s="1"/>
      <c r="B4" s="125"/>
      <c r="C4" s="12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0" t="s">
        <v>112</v>
      </c>
      <c r="C9" s="24">
        <v>1.2699999999999999E-2</v>
      </c>
      <c r="D9" s="1"/>
    </row>
    <row r="10" spans="1:4" x14ac:dyDescent="0.25">
      <c r="A10" s="1"/>
      <c r="B10" s="90" t="s">
        <v>113</v>
      </c>
      <c r="C10" s="24">
        <v>1.7500000000000002E-2</v>
      </c>
      <c r="D10" s="1"/>
    </row>
    <row r="11" spans="1:4" x14ac:dyDescent="0.25">
      <c r="A11" s="1"/>
      <c r="B11" s="90"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0" t="s">
        <v>171</v>
      </c>
      <c r="C14" s="42">
        <v>3.3E-3</v>
      </c>
      <c r="D14" s="1"/>
    </row>
    <row r="15" spans="1:4" x14ac:dyDescent="0.25">
      <c r="A15" s="1"/>
      <c r="B15" s="33" t="s">
        <v>224</v>
      </c>
      <c r="C15" s="66">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0" t="s">
        <v>114</v>
      </c>
      <c r="C20" s="22">
        <v>9.1000000000000004E-3</v>
      </c>
      <c r="D20" s="1"/>
    </row>
    <row r="21" spans="1:4" x14ac:dyDescent="0.25">
      <c r="A21" s="1"/>
      <c r="B21" s="90" t="s">
        <v>145</v>
      </c>
      <c r="C21" s="22">
        <v>1.77E-2</v>
      </c>
      <c r="D21" s="1"/>
    </row>
    <row r="22" spans="1:4" x14ac:dyDescent="0.25">
      <c r="A22" s="1"/>
      <c r="B22" s="90" t="s">
        <v>146</v>
      </c>
      <c r="C22" s="22">
        <v>8.6999999999999994E-3</v>
      </c>
      <c r="D22" s="1"/>
    </row>
    <row r="23" spans="1:4" x14ac:dyDescent="0.25">
      <c r="A23" s="1"/>
      <c r="B23" s="90" t="s">
        <v>115</v>
      </c>
      <c r="C23" s="35">
        <v>2.8400000000000002E-2</v>
      </c>
      <c r="D23" s="1"/>
    </row>
    <row r="24" spans="1:4" x14ac:dyDescent="0.25">
      <c r="A24" s="1"/>
      <c r="B24" s="90" t="s">
        <v>147</v>
      </c>
      <c r="C24" s="35">
        <v>2.75E-2</v>
      </c>
      <c r="D24" s="1"/>
    </row>
    <row r="25" spans="1:4" x14ac:dyDescent="0.25">
      <c r="A25" s="1"/>
      <c r="B25" s="90" t="s">
        <v>148</v>
      </c>
      <c r="C25" s="35">
        <v>1.4800000000000001E-2</v>
      </c>
      <c r="D25" s="1"/>
    </row>
    <row r="26" spans="1:4" x14ac:dyDescent="0.25">
      <c r="A26" s="1"/>
      <c r="B26" s="33" t="s">
        <v>216</v>
      </c>
      <c r="C26" s="67">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0"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8XDMzv+z4//Z+FhjPBWEVBxM6ukjAcrsyLgeZAWoe1YZFK4D5MlbVO6Cuee7YFZqWAOWA2n8O7HjREOKFnyDPA==" saltValue="wIcrLZ1MhmPzHpdWioujz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186</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31595538.884326525</v>
      </c>
      <c r="D9" s="8" t="s">
        <v>3</v>
      </c>
      <c r="E9" s="1"/>
    </row>
    <row r="10" spans="1:5" ht="15" customHeight="1" x14ac:dyDescent="0.25">
      <c r="A10" s="1"/>
      <c r="B10" s="25" t="s">
        <v>19</v>
      </c>
      <c r="C10" s="7">
        <f>SUM(C9:C9)*'Fane 15. Nøgletal'!C15</f>
        <v>1124801.1842820244</v>
      </c>
      <c r="D10" s="8" t="s">
        <v>3</v>
      </c>
      <c r="E10" s="1"/>
    </row>
    <row r="11" spans="1:5" ht="15" customHeight="1" x14ac:dyDescent="0.25">
      <c r="A11" s="1"/>
      <c r="B11" s="25" t="s">
        <v>10</v>
      </c>
      <c r="C11" s="9">
        <f>-SUM(C9:C10)*'Fane 5. Individuelt eff. krav'!G9</f>
        <v>-35468.099011928156</v>
      </c>
      <c r="D11" s="8" t="s">
        <v>3</v>
      </c>
      <c r="E11" s="1"/>
    </row>
    <row r="12" spans="1:5" ht="15" customHeight="1" x14ac:dyDescent="0.25">
      <c r="A12" s="1"/>
      <c r="B12" s="25" t="s">
        <v>24</v>
      </c>
      <c r="C12" s="9">
        <f>-'Fane 4.1. Gen. krav - drift'!G53</f>
        <v>-423531.06910475536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32261340.900491863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omk.'!C26+'Fane 6. Ikke-påvirkelige omk.'!C34</f>
        <v>1668025.4943403299</v>
      </c>
      <c r="D16" s="11" t="s">
        <v>3</v>
      </c>
      <c r="E16" s="1"/>
    </row>
    <row r="17" spans="1:5" ht="15" customHeight="1" x14ac:dyDescent="0.25">
      <c r="A17" s="1"/>
      <c r="B17" s="32" t="s">
        <v>86</v>
      </c>
      <c r="C17" s="27"/>
      <c r="D17" s="19"/>
      <c r="E17" s="1"/>
    </row>
    <row r="18" spans="1:5" ht="15" customHeight="1" x14ac:dyDescent="0.25">
      <c r="A18" s="1"/>
      <c r="B18" s="84" t="s">
        <v>86</v>
      </c>
      <c r="C18" s="10">
        <f>'Fane 12. Periodevise driftsomk.'!E19</f>
        <v>461438.00982877874</v>
      </c>
      <c r="D18" s="11" t="s">
        <v>3</v>
      </c>
      <c r="E18" s="1"/>
    </row>
    <row r="19" spans="1:5" x14ac:dyDescent="0.25">
      <c r="A19" s="1"/>
      <c r="B19" s="32" t="s">
        <v>143</v>
      </c>
      <c r="C19" s="27"/>
      <c r="D19" s="19"/>
      <c r="E19" s="1"/>
    </row>
    <row r="20" spans="1:5" ht="15" customHeight="1" x14ac:dyDescent="0.25">
      <c r="A20" s="1"/>
      <c r="B20" s="30" t="s">
        <v>180</v>
      </c>
      <c r="C20" s="10">
        <f>'Fane 7. Kontrol af ØR2021'!E34</f>
        <v>-309287.63873519469</v>
      </c>
      <c r="D20" s="11" t="s">
        <v>3</v>
      </c>
      <c r="E20" s="1"/>
    </row>
    <row r="21" spans="1:5" x14ac:dyDescent="0.25">
      <c r="A21" s="1"/>
      <c r="B21" s="29" t="s">
        <v>175</v>
      </c>
      <c r="C21" s="27"/>
      <c r="D21" s="19"/>
      <c r="E21" s="1"/>
    </row>
    <row r="22" spans="1:5" x14ac:dyDescent="0.25">
      <c r="A22" s="1"/>
      <c r="B22" s="92" t="s">
        <v>176</v>
      </c>
      <c r="C22" s="10">
        <f>'Fane 8. Skattesagen'!G13</f>
        <v>0</v>
      </c>
      <c r="D22" s="11" t="s">
        <v>3</v>
      </c>
      <c r="E22" s="1"/>
    </row>
    <row r="23" spans="1:5" x14ac:dyDescent="0.25">
      <c r="A23" s="1"/>
      <c r="B23" s="32" t="s">
        <v>128</v>
      </c>
      <c r="C23" s="12">
        <f>SUM(C14,C16,C18,C20,C22)</f>
        <v>34081516.765925772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QOeqnnI2XBVC2GbGvOpgrcZiWIrVns1lHrAw93wMlNUxVqPMk6GhW8UDJ6mVOs1FRVM5jzr2Y6mS/YrVphWGJA==" saltValue="kFKFyEpJbwRUWkLg1gbJa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7.42578125" style="2" customWidth="1"/>
    <col min="2" max="2" width="50.5703125" style="2" customWidth="1"/>
    <col min="3" max="3" width="16.28515625" style="2" customWidth="1"/>
    <col min="4" max="4" width="3.28515625" style="2" customWidth="1"/>
    <col min="5" max="5" width="7.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187</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77"/>
      <c r="C6" s="77"/>
      <c r="D6" s="77"/>
      <c r="E6" s="1"/>
    </row>
    <row r="7" spans="1:5" x14ac:dyDescent="0.25">
      <c r="A7" s="1"/>
      <c r="B7" s="1"/>
      <c r="C7" s="1"/>
      <c r="D7" s="1"/>
      <c r="E7" s="1"/>
    </row>
    <row r="8" spans="1:5" x14ac:dyDescent="0.25">
      <c r="A8" s="1"/>
      <c r="B8" s="32" t="s">
        <v>13</v>
      </c>
      <c r="C8" s="27"/>
      <c r="D8" s="19"/>
      <c r="E8" s="1"/>
    </row>
    <row r="9" spans="1:5" ht="15" customHeight="1" x14ac:dyDescent="0.25">
      <c r="A9" s="1"/>
      <c r="B9" s="28" t="s">
        <v>234</v>
      </c>
      <c r="C9" s="7">
        <f>'Fane 2.2. Økonomisk ramme 2024'!C14</f>
        <v>32261340.900491863</v>
      </c>
      <c r="D9" s="8" t="s">
        <v>3</v>
      </c>
      <c r="E9" s="1"/>
    </row>
    <row r="10" spans="1:5" ht="15" customHeight="1" x14ac:dyDescent="0.25">
      <c r="A10" s="1"/>
      <c r="B10" s="25" t="s">
        <v>19</v>
      </c>
      <c r="C10" s="7">
        <f>SUM(C9:C9)*'Fane 15. Nøgletal'!C15</f>
        <v>1148503.7360575104</v>
      </c>
      <c r="D10" s="8" t="s">
        <v>3</v>
      </c>
      <c r="E10" s="1"/>
    </row>
    <row r="11" spans="1:5" ht="15" customHeight="1" x14ac:dyDescent="0.25">
      <c r="A11" s="1"/>
      <c r="B11" s="25" t="s">
        <v>10</v>
      </c>
      <c r="C11" s="9">
        <f>-SUM(C9:C10)*'Fane 5. Individuelt eff. krav'!G9</f>
        <v>-36215.506167037893</v>
      </c>
      <c r="D11" s="8" t="s">
        <v>3</v>
      </c>
      <c r="E11" s="1"/>
    </row>
    <row r="12" spans="1:5" ht="15" customHeight="1" x14ac:dyDescent="0.25">
      <c r="A12" s="1"/>
      <c r="B12" s="25" t="s">
        <v>24</v>
      </c>
      <c r="C12" s="9">
        <f>-'Fane 4.1. Gen. krav - drift'!G58</f>
        <v>-429836.59966158698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32943792.530720744</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1727407.2019388457</v>
      </c>
      <c r="D16" s="11" t="s">
        <v>3</v>
      </c>
      <c r="E16" s="1"/>
    </row>
    <row r="17" spans="1:5" ht="15" customHeight="1" x14ac:dyDescent="0.25">
      <c r="A17" s="1"/>
      <c r="B17" s="32" t="s">
        <v>86</v>
      </c>
      <c r="C17" s="27"/>
      <c r="D17" s="19"/>
      <c r="E17" s="1"/>
    </row>
    <row r="18" spans="1:5" ht="15" customHeight="1" x14ac:dyDescent="0.25">
      <c r="A18" s="1"/>
      <c r="B18" s="84" t="s">
        <v>86</v>
      </c>
      <c r="C18" s="10">
        <f>'Fane 12. Periodevise driftsomk.'!E25</f>
        <v>477865.20297868329</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-309287.63873519469</v>
      </c>
      <c r="D20" s="11" t="s">
        <v>3</v>
      </c>
      <c r="E20" s="1"/>
    </row>
    <row r="21" spans="1:5" x14ac:dyDescent="0.25">
      <c r="A21" s="1"/>
      <c r="B21" s="29" t="s">
        <v>175</v>
      </c>
      <c r="C21" s="27"/>
      <c r="D21" s="19"/>
      <c r="E21" s="1"/>
    </row>
    <row r="22" spans="1:5" x14ac:dyDescent="0.25">
      <c r="A22" s="1"/>
      <c r="B22" s="92" t="s">
        <v>176</v>
      </c>
      <c r="C22" s="10">
        <f>'Fane 8. Skattesagen'!G14</f>
        <v>0</v>
      </c>
      <c r="D22" s="11" t="s">
        <v>3</v>
      </c>
      <c r="E22" s="1"/>
    </row>
    <row r="23" spans="1:5" x14ac:dyDescent="0.25">
      <c r="A23" s="1"/>
      <c r="B23" s="32" t="s">
        <v>149</v>
      </c>
      <c r="C23" s="12">
        <f>SUM(C14,C16,C18,C20,C22)</f>
        <v>34839777.296903081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NsRmUEeNeRke3BtKND9mKSRKYiZZhmHi73OR1J/1P7FLY6WhUyg03NleqQC4tm9KxpcjZ+CdmcvRP5JJFYmWnQ==" saltValue="sXIdFVZUcRecmazAmdnrN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9" style="2" customWidth="1"/>
    <col min="2" max="2" width="48.85546875" style="2" customWidth="1"/>
    <col min="3" max="3" width="13.7109375" style="2" customWidth="1"/>
    <col min="4" max="4" width="3.28515625" style="2" customWidth="1"/>
    <col min="5" max="5" width="9.5703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188</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77"/>
      <c r="C6" s="77"/>
      <c r="D6" s="77"/>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32943792.530720744</v>
      </c>
      <c r="D9" s="8" t="s">
        <v>3</v>
      </c>
      <c r="E9" s="1"/>
    </row>
    <row r="10" spans="1:5" ht="15" customHeight="1" x14ac:dyDescent="0.25">
      <c r="A10" s="1"/>
      <c r="B10" s="25" t="s">
        <v>19</v>
      </c>
      <c r="C10" s="7">
        <f>SUM(C9:C9)*'Fane 15. Nøgletal'!C15</f>
        <v>1172799.0140936584</v>
      </c>
      <c r="D10" s="8" t="s">
        <v>3</v>
      </c>
      <c r="E10" s="1"/>
    </row>
    <row r="11" spans="1:5" ht="15" customHeight="1" x14ac:dyDescent="0.25">
      <c r="A11" s="1"/>
      <c r="B11" s="25" t="s">
        <v>10</v>
      </c>
      <c r="C11" s="9">
        <f>-SUM(C9:C10)*'Fane 5. Individuelt eff. krav'!G9</f>
        <v>-36981.603624037343</v>
      </c>
      <c r="D11" s="8" t="s">
        <v>3</v>
      </c>
      <c r="E11" s="1"/>
    </row>
    <row r="12" spans="1:5" ht="15" customHeight="1" x14ac:dyDescent="0.25">
      <c r="A12" s="1"/>
      <c r="B12" s="25" t="s">
        <v>24</v>
      </c>
      <c r="C12" s="9">
        <f>-'Fane 4.1. Gen. krav - drift'!G63</f>
        <v>-436236.00695734867</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33643373.93423301</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1788902.8983278687</v>
      </c>
      <c r="D16" s="11" t="s">
        <v>3</v>
      </c>
      <c r="E16" s="1"/>
    </row>
    <row r="17" spans="1:5" ht="15" customHeight="1" x14ac:dyDescent="0.25">
      <c r="A17" s="1"/>
      <c r="B17" s="32" t="s">
        <v>86</v>
      </c>
      <c r="C17" s="27"/>
      <c r="D17" s="19"/>
      <c r="E17" s="1"/>
    </row>
    <row r="18" spans="1:5" ht="15" customHeight="1" x14ac:dyDescent="0.25">
      <c r="A18" s="1"/>
      <c r="B18" s="84" t="s">
        <v>86</v>
      </c>
      <c r="C18" s="10">
        <f>'Fane 12. Periodevise driftsomk.'!E31</f>
        <v>494877.2042047244</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-309287.63873519469</v>
      </c>
      <c r="D20" s="11" t="s">
        <v>3</v>
      </c>
      <c r="E20" s="1"/>
    </row>
    <row r="21" spans="1:5" x14ac:dyDescent="0.25">
      <c r="A21" s="1"/>
      <c r="B21" s="29" t="s">
        <v>175</v>
      </c>
      <c r="C21" s="27"/>
      <c r="D21" s="19"/>
      <c r="E21" s="1"/>
    </row>
    <row r="22" spans="1:5" x14ac:dyDescent="0.25">
      <c r="A22" s="1"/>
      <c r="B22" s="92" t="s">
        <v>176</v>
      </c>
      <c r="C22" s="10">
        <f>'Fane 8. Skattesagen'!G15</f>
        <v>0</v>
      </c>
      <c r="D22" s="11" t="s">
        <v>3</v>
      </c>
      <c r="E22" s="1"/>
    </row>
    <row r="23" spans="1:5" x14ac:dyDescent="0.25">
      <c r="A23" s="1"/>
      <c r="B23" s="32" t="s">
        <v>190</v>
      </c>
      <c r="C23" s="12">
        <f>SUM(C14,C16,C18,C20,C22)</f>
        <v>35617866.398030408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0LKn3LvPBWfLO1kjF++TjfSXSzCzJHQRv7Sz6XdkQSoaqyDU9AhUv6KjUZOIiHe9x7haqNZnek3Gq1NbWm6nWQ==" saltValue="vHuHDBPwOT7ChFIRRF0hz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191</v>
      </c>
      <c r="C3" s="125"/>
      <c r="D3" s="125"/>
      <c r="E3" s="125"/>
      <c r="F3" s="125"/>
      <c r="G3" s="1"/>
    </row>
    <row r="4" spans="1:7" ht="29.2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218</v>
      </c>
      <c r="C8" s="27"/>
      <c r="D8" s="27"/>
      <c r="E8" s="27"/>
      <c r="F8" s="19"/>
      <c r="G8" s="1"/>
    </row>
    <row r="9" spans="1:7" ht="15" customHeight="1" x14ac:dyDescent="0.25">
      <c r="A9" s="1"/>
      <c r="B9" s="122" t="s">
        <v>192</v>
      </c>
      <c r="C9" s="123"/>
      <c r="D9" s="124"/>
      <c r="E9" s="7">
        <v>31420028.823041242</v>
      </c>
      <c r="F9" s="8" t="s">
        <v>3</v>
      </c>
      <c r="G9" s="1"/>
    </row>
    <row r="10" spans="1:7" ht="15" customHeight="1" x14ac:dyDescent="0.25">
      <c r="A10" s="1"/>
      <c r="B10" s="126" t="s">
        <v>39</v>
      </c>
      <c r="C10" s="127"/>
      <c r="D10" s="128"/>
      <c r="E10" s="7">
        <v>0</v>
      </c>
      <c r="F10" s="8" t="s">
        <v>3</v>
      </c>
      <c r="G10" s="1"/>
    </row>
    <row r="11" spans="1:7" ht="15" customHeight="1" x14ac:dyDescent="0.25">
      <c r="A11" s="1"/>
      <c r="B11" s="126" t="s">
        <v>40</v>
      </c>
      <c r="C11" s="127"/>
      <c r="D11" s="128"/>
      <c r="E11" s="9">
        <v>1191326.4464</v>
      </c>
      <c r="F11" s="8" t="s">
        <v>3</v>
      </c>
      <c r="G11" s="1"/>
    </row>
    <row r="12" spans="1:7" ht="15" customHeight="1" x14ac:dyDescent="0.25">
      <c r="A12" s="1"/>
      <c r="B12" s="126" t="s">
        <v>27</v>
      </c>
      <c r="C12" s="127"/>
      <c r="D12" s="128"/>
      <c r="E12" s="9">
        <v>0</v>
      </c>
      <c r="F12" s="8" t="s">
        <v>3</v>
      </c>
      <c r="G12" s="1"/>
    </row>
    <row r="13" spans="1:7" ht="15" customHeight="1" x14ac:dyDescent="0.25">
      <c r="A13" s="1"/>
      <c r="B13" s="122" t="s">
        <v>26</v>
      </c>
      <c r="C13" s="123"/>
      <c r="D13" s="124"/>
      <c r="E13" s="9">
        <v>0</v>
      </c>
      <c r="F13" s="8" t="s">
        <v>3</v>
      </c>
      <c r="G13" s="1"/>
    </row>
    <row r="14" spans="1:7" ht="15" customHeight="1" x14ac:dyDescent="0.25">
      <c r="A14" s="1"/>
      <c r="B14" s="122" t="s">
        <v>29</v>
      </c>
      <c r="C14" s="123"/>
      <c r="D14" s="124"/>
      <c r="E14" s="9">
        <v>0</v>
      </c>
      <c r="F14" s="8" t="s">
        <v>3</v>
      </c>
      <c r="G14" s="1"/>
    </row>
    <row r="15" spans="1:7" ht="15" customHeight="1" x14ac:dyDescent="0.25">
      <c r="A15" s="1"/>
      <c r="B15" s="122" t="s">
        <v>28</v>
      </c>
      <c r="C15" s="123"/>
      <c r="D15" s="124"/>
      <c r="E15" s="9">
        <v>0</v>
      </c>
      <c r="F15" s="8" t="s">
        <v>3</v>
      </c>
      <c r="G15" s="1"/>
    </row>
    <row r="16" spans="1:7" ht="15" customHeight="1" x14ac:dyDescent="0.25">
      <c r="A16" s="1"/>
      <c r="B16" s="122" t="s">
        <v>19</v>
      </c>
      <c r="C16" s="123"/>
      <c r="D16" s="124"/>
      <c r="E16" s="9">
        <f>SUM(E9:E15)*'Fane 15. Nøgletal'!C14</f>
        <v>107617.4723891561</v>
      </c>
      <c r="F16" s="8" t="s">
        <v>3</v>
      </c>
      <c r="G16" s="1"/>
    </row>
    <row r="17" spans="1:7" ht="15" customHeight="1" x14ac:dyDescent="0.25">
      <c r="A17" s="1"/>
      <c r="B17" s="122" t="s">
        <v>10</v>
      </c>
      <c r="C17" s="123"/>
      <c r="D17" s="124"/>
      <c r="E17" s="9">
        <v>-35466.616861026079</v>
      </c>
      <c r="F17" s="8" t="s">
        <v>3</v>
      </c>
      <c r="G17" s="1"/>
    </row>
    <row r="18" spans="1:7" ht="15" customHeight="1" x14ac:dyDescent="0.25">
      <c r="A18" s="1"/>
      <c r="B18" s="122" t="s">
        <v>24</v>
      </c>
      <c r="C18" s="123"/>
      <c r="D18" s="124"/>
      <c r="E18" s="9">
        <f>-'Fane 4.1. Gen. krav - drift'!G39</f>
        <v>-423970.9002776955</v>
      </c>
      <c r="F18" s="8" t="s">
        <v>3</v>
      </c>
      <c r="G18" s="1"/>
    </row>
    <row r="19" spans="1:7" ht="15" customHeight="1" x14ac:dyDescent="0.25">
      <c r="A19" s="1"/>
      <c r="B19" s="122" t="s">
        <v>25</v>
      </c>
      <c r="C19" s="123"/>
      <c r="D19" s="124"/>
      <c r="E19" s="9">
        <f>-'Fane 4.2. Gen. krav - anlæg'!G37</f>
        <v>-171198.08159909412</v>
      </c>
      <c r="F19" s="8" t="s">
        <v>3</v>
      </c>
      <c r="G19" s="1"/>
    </row>
    <row r="20" spans="1:7" ht="15" customHeight="1" x14ac:dyDescent="0.25">
      <c r="A20" s="1"/>
      <c r="B20" s="52" t="s">
        <v>21</v>
      </c>
      <c r="C20" s="96"/>
      <c r="D20" s="97"/>
      <c r="E20" s="50">
        <f>SUM(E9:E19)</f>
        <v>32088337.143092584</v>
      </c>
      <c r="F20" s="51" t="s">
        <v>3</v>
      </c>
      <c r="G20" s="1"/>
    </row>
    <row r="21" spans="1:7" ht="15" customHeight="1" x14ac:dyDescent="0.25">
      <c r="A21" s="1"/>
      <c r="B21" s="32" t="s">
        <v>12</v>
      </c>
      <c r="C21" s="27"/>
      <c r="D21" s="27"/>
      <c r="E21" s="27"/>
      <c r="F21" s="19"/>
      <c r="G21" s="1"/>
    </row>
    <row r="22" spans="1:7" ht="15" customHeight="1" x14ac:dyDescent="0.25">
      <c r="A22" s="1"/>
      <c r="B22" s="129" t="s">
        <v>12</v>
      </c>
      <c r="C22" s="130"/>
      <c r="D22" s="131"/>
      <c r="E22" s="10">
        <v>1295608.8765190002</v>
      </c>
      <c r="F22" s="11" t="s">
        <v>3</v>
      </c>
      <c r="G22" s="1"/>
    </row>
    <row r="23" spans="1:7" ht="15" customHeight="1" x14ac:dyDescent="0.25">
      <c r="A23" s="1"/>
      <c r="B23" s="132" t="s">
        <v>86</v>
      </c>
      <c r="C23" s="133"/>
      <c r="D23" s="134"/>
      <c r="E23" s="27"/>
      <c r="F23" s="19"/>
      <c r="G23" s="1"/>
    </row>
    <row r="24" spans="1:7" ht="15" customHeight="1" x14ac:dyDescent="0.25">
      <c r="A24" s="1"/>
      <c r="B24" s="95" t="s">
        <v>86</v>
      </c>
      <c r="C24" s="37"/>
      <c r="D24" s="38"/>
      <c r="E24" s="10">
        <v>413173.56920962961</v>
      </c>
      <c r="F24" s="11" t="s">
        <v>3</v>
      </c>
      <c r="G24" s="1"/>
    </row>
    <row r="25" spans="1:7" x14ac:dyDescent="0.25">
      <c r="A25" s="1"/>
      <c r="B25" s="32" t="s">
        <v>85</v>
      </c>
      <c r="C25" s="27"/>
      <c r="D25" s="27"/>
      <c r="E25" s="27"/>
      <c r="F25" s="19"/>
      <c r="G25" s="1"/>
    </row>
    <row r="26" spans="1:7" ht="15" customHeight="1" x14ac:dyDescent="0.25">
      <c r="A26" s="1"/>
      <c r="B26" s="126" t="s">
        <v>81</v>
      </c>
      <c r="C26" s="127"/>
      <c r="D26" s="128"/>
      <c r="E26" s="9">
        <v>0</v>
      </c>
      <c r="F26" s="8" t="s">
        <v>3</v>
      </c>
      <c r="G26" s="1"/>
    </row>
    <row r="27" spans="1:7" ht="15" customHeight="1" x14ac:dyDescent="0.25">
      <c r="A27" s="1"/>
      <c r="B27" s="126" t="s">
        <v>82</v>
      </c>
      <c r="C27" s="127"/>
      <c r="D27" s="127"/>
      <c r="E27" s="9">
        <v>0</v>
      </c>
      <c r="F27" s="8" t="s">
        <v>3</v>
      </c>
      <c r="G27" s="1"/>
    </row>
    <row r="28" spans="1:7" ht="15" customHeight="1" x14ac:dyDescent="0.25">
      <c r="A28" s="1"/>
      <c r="B28" s="135" t="s">
        <v>87</v>
      </c>
      <c r="C28" s="136"/>
      <c r="D28" s="136"/>
      <c r="E28" s="39">
        <v>0</v>
      </c>
      <c r="F28" s="11" t="s">
        <v>3</v>
      </c>
      <c r="G28" s="1"/>
    </row>
    <row r="29" spans="1:7" ht="15" customHeight="1" x14ac:dyDescent="0.25">
      <c r="A29" s="1"/>
      <c r="B29" s="32" t="s">
        <v>143</v>
      </c>
      <c r="C29" s="32"/>
      <c r="D29" s="32"/>
      <c r="E29" s="27"/>
      <c r="F29" s="19"/>
      <c r="G29" s="1"/>
    </row>
    <row r="30" spans="1:7" ht="15" customHeight="1" x14ac:dyDescent="0.25">
      <c r="A30" s="1"/>
      <c r="B30" s="129" t="s">
        <v>142</v>
      </c>
      <c r="C30" s="130"/>
      <c r="D30" s="130"/>
      <c r="E30" s="39">
        <v>-211170.27085499465</v>
      </c>
      <c r="F30" s="11" t="s">
        <v>3</v>
      </c>
      <c r="G30" s="1"/>
    </row>
    <row r="31" spans="1:7" x14ac:dyDescent="0.25">
      <c r="A31" s="1"/>
      <c r="B31" s="32" t="s">
        <v>123</v>
      </c>
      <c r="C31" s="27"/>
      <c r="D31" s="27"/>
      <c r="E31" s="27"/>
      <c r="F31" s="19"/>
      <c r="G31" s="1"/>
    </row>
    <row r="32" spans="1:7" ht="15.4" customHeight="1" x14ac:dyDescent="0.25">
      <c r="A32" s="1"/>
      <c r="B32" s="129" t="s">
        <v>123</v>
      </c>
      <c r="C32" s="130"/>
      <c r="D32" s="131"/>
      <c r="E32" s="10">
        <v>366454</v>
      </c>
      <c r="F32" s="11" t="s">
        <v>3</v>
      </c>
      <c r="G32" s="1"/>
    </row>
    <row r="33" spans="1:7" ht="15.4" customHeight="1" x14ac:dyDescent="0.25">
      <c r="A33" s="1"/>
      <c r="B33" s="132" t="s">
        <v>175</v>
      </c>
      <c r="C33" s="133"/>
      <c r="D33" s="133"/>
      <c r="E33" s="133"/>
      <c r="F33" s="134"/>
      <c r="G33" s="1"/>
    </row>
    <row r="34" spans="1:7" ht="15.4" customHeight="1" x14ac:dyDescent="0.25">
      <c r="A34" s="1"/>
      <c r="B34" s="98" t="s">
        <v>176</v>
      </c>
      <c r="C34" s="10"/>
      <c r="D34" s="11"/>
      <c r="E34" s="10">
        <f>'Fane 8. Skattesagen'!G11</f>
        <v>0</v>
      </c>
      <c r="F34" s="11" t="s">
        <v>3</v>
      </c>
      <c r="G34" s="1"/>
    </row>
    <row r="35" spans="1:7" x14ac:dyDescent="0.25">
      <c r="A35" s="1"/>
      <c r="B35" s="32" t="s">
        <v>219</v>
      </c>
      <c r="C35" s="27"/>
      <c r="D35" s="19"/>
      <c r="E35" s="12">
        <f>SUM(E32,E30,E28,E24,E22,E20,E34)</f>
        <v>33952403.317966223</v>
      </c>
      <c r="F35" s="13" t="s">
        <v>3</v>
      </c>
      <c r="G35" s="1"/>
    </row>
    <row r="36" spans="1:7" ht="27" customHeight="1" x14ac:dyDescent="0.25">
      <c r="A36" s="1"/>
      <c r="B36" s="122" t="s">
        <v>223</v>
      </c>
      <c r="C36" s="123"/>
      <c r="D36" s="123"/>
      <c r="E36" s="123"/>
      <c r="F36" s="12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M3Mnshfk5DnYv+R0qH5bSC8U4EM17FhQyMYBEk+Zp2vf7PqjSle0qP4DeOxhog/BUbFFUk9aaWfoS0zY9y3dNw==" saltValue="ieysuVjmITXr7sAKqEZ2c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5" t="s">
        <v>109</v>
      </c>
      <c r="C2" s="125"/>
      <c r="D2" s="125"/>
      <c r="E2" s="125"/>
      <c r="F2" s="125"/>
      <c r="G2" s="125"/>
      <c r="H2" s="125"/>
      <c r="I2" s="1"/>
    </row>
    <row r="3" spans="1:9" ht="28.5" customHeight="1" x14ac:dyDescent="0.25">
      <c r="A3" s="1"/>
      <c r="B3" s="125"/>
      <c r="C3" s="125"/>
      <c r="D3" s="125"/>
      <c r="E3" s="125"/>
      <c r="F3" s="125"/>
      <c r="G3" s="125"/>
      <c r="H3" s="125"/>
      <c r="I3" s="1"/>
    </row>
    <row r="4" spans="1:9" x14ac:dyDescent="0.25">
      <c r="A4" s="1"/>
      <c r="B4" s="132" t="s">
        <v>52</v>
      </c>
      <c r="C4" s="133"/>
      <c r="D4" s="133"/>
      <c r="E4" s="133"/>
      <c r="F4" s="133"/>
      <c r="G4" s="133"/>
      <c r="H4" s="134"/>
      <c r="I4" s="1"/>
    </row>
    <row r="5" spans="1:9" x14ac:dyDescent="0.25">
      <c r="A5" s="1"/>
      <c r="B5" s="137" t="s">
        <v>41</v>
      </c>
      <c r="C5" s="138"/>
      <c r="D5" s="138"/>
      <c r="E5" s="138"/>
      <c r="F5" s="139"/>
      <c r="G5" s="72">
        <v>21732944</v>
      </c>
      <c r="H5" s="14" t="s">
        <v>3</v>
      </c>
      <c r="I5" s="1"/>
    </row>
    <row r="6" spans="1:9" x14ac:dyDescent="0.25">
      <c r="A6" s="1"/>
      <c r="B6" s="122" t="s">
        <v>120</v>
      </c>
      <c r="C6" s="123"/>
      <c r="D6" s="123"/>
      <c r="E6" s="123"/>
      <c r="F6" s="124"/>
      <c r="G6" s="73">
        <v>543905</v>
      </c>
      <c r="H6" s="14" t="s">
        <v>3</v>
      </c>
      <c r="I6" s="1"/>
    </row>
    <row r="7" spans="1:9" x14ac:dyDescent="0.25">
      <c r="A7" s="1"/>
      <c r="B7" s="137" t="s">
        <v>42</v>
      </c>
      <c r="C7" s="138"/>
      <c r="D7" s="138"/>
      <c r="E7" s="138"/>
      <c r="F7" s="139"/>
      <c r="G7" s="72">
        <f>SUM(G5:G6)*'Fane 15. Nøgletal'!C31</f>
        <v>445536.98</v>
      </c>
      <c r="H7" s="14" t="s">
        <v>3</v>
      </c>
      <c r="I7" s="1"/>
    </row>
    <row r="8" spans="1:9" x14ac:dyDescent="0.25">
      <c r="A8" s="1"/>
      <c r="B8" s="32"/>
      <c r="C8" s="27"/>
      <c r="D8" s="27"/>
      <c r="E8" s="27"/>
      <c r="F8" s="27"/>
      <c r="G8" s="74"/>
      <c r="H8" s="19"/>
      <c r="I8" s="1"/>
    </row>
    <row r="9" spans="1:9" x14ac:dyDescent="0.25">
      <c r="A9" s="1"/>
      <c r="B9" s="1"/>
      <c r="C9" s="1"/>
      <c r="D9" s="1"/>
      <c r="E9" s="1"/>
      <c r="F9" s="1"/>
      <c r="G9" s="75"/>
      <c r="H9" s="1"/>
      <c r="I9" s="1"/>
    </row>
    <row r="10" spans="1:9" x14ac:dyDescent="0.25">
      <c r="A10" s="1"/>
      <c r="B10" s="132" t="s">
        <v>53</v>
      </c>
      <c r="C10" s="133"/>
      <c r="D10" s="133"/>
      <c r="E10" s="133"/>
      <c r="F10" s="133"/>
      <c r="G10" s="140"/>
      <c r="H10" s="134"/>
      <c r="I10" s="1"/>
    </row>
    <row r="11" spans="1:9" x14ac:dyDescent="0.25">
      <c r="A11" s="1"/>
      <c r="B11" s="137" t="s">
        <v>43</v>
      </c>
      <c r="C11" s="138"/>
      <c r="D11" s="138"/>
      <c r="E11" s="138"/>
      <c r="F11" s="139"/>
      <c r="G11" s="72">
        <f>(G5-G7)*(1+'Fane 15. Nøgletal'!C10)</f>
        <v>21659936.64285</v>
      </c>
      <c r="H11" s="14" t="s">
        <v>3</v>
      </c>
      <c r="I11" s="1"/>
    </row>
    <row r="12" spans="1:9" ht="15" customHeight="1" x14ac:dyDescent="0.25">
      <c r="A12" s="1"/>
      <c r="B12" s="137" t="s">
        <v>121</v>
      </c>
      <c r="C12" s="138"/>
      <c r="D12" s="138"/>
      <c r="E12" s="138"/>
      <c r="F12" s="139"/>
      <c r="G12" s="73">
        <v>-0.17831283561885358</v>
      </c>
      <c r="H12" s="14" t="s">
        <v>3</v>
      </c>
      <c r="I12" s="1"/>
    </row>
    <row r="13" spans="1:9" x14ac:dyDescent="0.25">
      <c r="A13" s="1"/>
      <c r="B13" s="122" t="s">
        <v>118</v>
      </c>
      <c r="C13" s="123"/>
      <c r="D13" s="123"/>
      <c r="E13" s="123"/>
      <c r="F13" s="124"/>
      <c r="G13" s="73">
        <v>404365.6925</v>
      </c>
      <c r="H13" s="14" t="s">
        <v>3</v>
      </c>
      <c r="I13" s="1"/>
    </row>
    <row r="14" spans="1:9" x14ac:dyDescent="0.25">
      <c r="A14" s="1"/>
      <c r="B14" s="144" t="s">
        <v>44</v>
      </c>
      <c r="C14" s="145"/>
      <c r="D14" s="145"/>
      <c r="E14" s="145"/>
      <c r="F14" s="146"/>
      <c r="G14" s="73">
        <v>0</v>
      </c>
      <c r="H14" s="14" t="s">
        <v>3</v>
      </c>
      <c r="I14" s="1"/>
    </row>
    <row r="15" spans="1:9" x14ac:dyDescent="0.25">
      <c r="A15" s="1"/>
      <c r="B15" s="137" t="s">
        <v>45</v>
      </c>
      <c r="C15" s="138"/>
      <c r="D15" s="138"/>
      <c r="E15" s="138"/>
      <c r="F15" s="139"/>
      <c r="G15" s="72">
        <f>SUM(G11:G14)*'Fane 15. Nøgletal'!C31</f>
        <v>441286.04314074334</v>
      </c>
      <c r="H15" s="14" t="s">
        <v>3</v>
      </c>
      <c r="I15" s="1"/>
    </row>
    <row r="16" spans="1:9" x14ac:dyDescent="0.25">
      <c r="A16" s="1"/>
      <c r="B16" s="32"/>
      <c r="C16" s="27"/>
      <c r="D16" s="27"/>
      <c r="E16" s="27"/>
      <c r="F16" s="27"/>
      <c r="G16" s="74"/>
      <c r="H16" s="19"/>
      <c r="I16" s="1"/>
    </row>
    <row r="17" spans="1:9" x14ac:dyDescent="0.25">
      <c r="A17" s="1"/>
      <c r="B17" s="1"/>
      <c r="C17" s="1"/>
      <c r="D17" s="1"/>
      <c r="E17" s="1"/>
      <c r="F17" s="1"/>
      <c r="G17" s="75"/>
      <c r="H17" s="1"/>
      <c r="I17" s="1"/>
    </row>
    <row r="18" spans="1:9" x14ac:dyDescent="0.25">
      <c r="A18" s="1"/>
      <c r="B18" s="132" t="s">
        <v>54</v>
      </c>
      <c r="C18" s="133"/>
      <c r="D18" s="133"/>
      <c r="E18" s="133"/>
      <c r="F18" s="133"/>
      <c r="G18" s="140"/>
      <c r="H18" s="134"/>
      <c r="I18" s="1"/>
    </row>
    <row r="19" spans="1:9" x14ac:dyDescent="0.25">
      <c r="A19" s="1"/>
      <c r="B19" s="137" t="s">
        <v>46</v>
      </c>
      <c r="C19" s="138"/>
      <c r="D19" s="138"/>
      <c r="E19" s="138"/>
      <c r="F19" s="139"/>
      <c r="G19" s="72">
        <f>(SUM(G11:G12,G14)-(G15))*(1+'Fane 15. Nøgletal'!C10)</f>
        <v>21589976.803770863</v>
      </c>
      <c r="H19" s="14" t="s">
        <v>3</v>
      </c>
      <c r="I19" s="1"/>
    </row>
    <row r="20" spans="1:9" x14ac:dyDescent="0.25">
      <c r="A20" s="1"/>
      <c r="B20" s="144" t="s">
        <v>47</v>
      </c>
      <c r="C20" s="145"/>
      <c r="D20" s="145"/>
      <c r="E20" s="145"/>
      <c r="F20" s="146"/>
      <c r="G20" s="73">
        <v>0</v>
      </c>
      <c r="H20" s="14" t="s">
        <v>3</v>
      </c>
      <c r="I20" s="1"/>
    </row>
    <row r="21" spans="1:9" x14ac:dyDescent="0.25">
      <c r="A21" s="1"/>
      <c r="B21" s="137" t="s">
        <v>48</v>
      </c>
      <c r="C21" s="138"/>
      <c r="D21" s="138"/>
      <c r="E21" s="138"/>
      <c r="F21" s="139"/>
      <c r="G21" s="72">
        <f>SUM(G19:G20)*'Fane 15. Nøgletal'!C31</f>
        <v>431799.53607541724</v>
      </c>
      <c r="H21" s="14" t="s">
        <v>3</v>
      </c>
      <c r="I21" s="1"/>
    </row>
    <row r="22" spans="1:9" x14ac:dyDescent="0.25">
      <c r="A22" s="1"/>
      <c r="B22" s="32"/>
      <c r="C22" s="27"/>
      <c r="D22" s="27"/>
      <c r="E22" s="27"/>
      <c r="F22" s="27"/>
      <c r="G22" s="74"/>
      <c r="H22" s="19"/>
      <c r="I22" s="1"/>
    </row>
    <row r="23" spans="1:9" x14ac:dyDescent="0.25">
      <c r="A23" s="1"/>
      <c r="B23" s="1"/>
      <c r="C23" s="1"/>
      <c r="D23" s="1"/>
      <c r="E23" s="1"/>
      <c r="F23" s="1"/>
      <c r="G23" s="75"/>
      <c r="H23" s="1"/>
      <c r="I23" s="1"/>
    </row>
    <row r="24" spans="1:9" x14ac:dyDescent="0.25">
      <c r="A24" s="1"/>
      <c r="B24" s="132" t="s">
        <v>55</v>
      </c>
      <c r="C24" s="133"/>
      <c r="D24" s="133"/>
      <c r="E24" s="133"/>
      <c r="F24" s="133"/>
      <c r="G24" s="140"/>
      <c r="H24" s="134"/>
      <c r="I24" s="1"/>
    </row>
    <row r="25" spans="1:9" x14ac:dyDescent="0.25">
      <c r="A25" s="1"/>
      <c r="B25" s="137" t="s">
        <v>49</v>
      </c>
      <c r="C25" s="138"/>
      <c r="D25" s="138"/>
      <c r="E25" s="138"/>
      <c r="F25" s="139"/>
      <c r="G25" s="72">
        <f>(G19+G20-G21)*(1+'Fane 15. Nøgletal'!C12)</f>
        <v>21574993.359869048</v>
      </c>
      <c r="H25" s="14" t="s">
        <v>3</v>
      </c>
      <c r="I25" s="1"/>
    </row>
    <row r="26" spans="1:9" x14ac:dyDescent="0.25">
      <c r="A26" s="1"/>
      <c r="B26" s="144" t="s">
        <v>50</v>
      </c>
      <c r="C26" s="145"/>
      <c r="D26" s="145"/>
      <c r="E26" s="145"/>
      <c r="F26" s="146"/>
      <c r="G26" s="73">
        <v>0</v>
      </c>
      <c r="H26" s="14" t="s">
        <v>3</v>
      </c>
      <c r="I26" s="1"/>
    </row>
    <row r="27" spans="1:9" x14ac:dyDescent="0.25">
      <c r="A27" s="1"/>
      <c r="B27" s="137" t="s">
        <v>51</v>
      </c>
      <c r="C27" s="138"/>
      <c r="D27" s="138"/>
      <c r="E27" s="138"/>
      <c r="F27" s="139"/>
      <c r="G27" s="72">
        <f>(G25+G26)*'Fane 15. Nøgletal'!C31</f>
        <v>431499.86719738098</v>
      </c>
      <c r="H27" s="14" t="s">
        <v>3</v>
      </c>
      <c r="I27" s="1"/>
    </row>
    <row r="28" spans="1:9" x14ac:dyDescent="0.25">
      <c r="A28" s="1"/>
      <c r="B28" s="32"/>
      <c r="C28" s="27"/>
      <c r="D28" s="27"/>
      <c r="E28" s="27"/>
      <c r="F28" s="27"/>
      <c r="G28" s="74"/>
      <c r="H28" s="19"/>
      <c r="I28" s="1"/>
    </row>
    <row r="29" spans="1:9" x14ac:dyDescent="0.25">
      <c r="A29" s="1"/>
      <c r="B29" s="1"/>
      <c r="C29" s="1"/>
      <c r="D29" s="1"/>
      <c r="E29" s="1"/>
      <c r="F29" s="1"/>
      <c r="G29" s="75"/>
      <c r="H29" s="1"/>
      <c r="I29" s="1"/>
    </row>
    <row r="30" spans="1:9" x14ac:dyDescent="0.25">
      <c r="A30" s="1"/>
      <c r="B30" s="132" t="s">
        <v>58</v>
      </c>
      <c r="C30" s="133"/>
      <c r="D30" s="133"/>
      <c r="E30" s="133"/>
      <c r="F30" s="133"/>
      <c r="G30" s="140"/>
      <c r="H30" s="134"/>
      <c r="I30" s="1"/>
    </row>
    <row r="31" spans="1:9" x14ac:dyDescent="0.25">
      <c r="A31" s="1"/>
      <c r="B31" s="137" t="s">
        <v>59</v>
      </c>
      <c r="C31" s="138"/>
      <c r="D31" s="138"/>
      <c r="E31" s="138"/>
      <c r="F31" s="139"/>
      <c r="G31" s="72">
        <f>(G25+G26-G27)*(1+'Fane 15. Nøgletal'!C12)</f>
        <v>21560020.314477302</v>
      </c>
      <c r="H31" s="14" t="s">
        <v>3</v>
      </c>
      <c r="I31" s="1"/>
    </row>
    <row r="32" spans="1:9" x14ac:dyDescent="0.25">
      <c r="A32" s="1"/>
      <c r="B32" s="137" t="s">
        <v>137</v>
      </c>
      <c r="C32" s="138"/>
      <c r="D32" s="138"/>
      <c r="E32" s="138"/>
      <c r="F32" s="139"/>
      <c r="G32" s="72">
        <v>0</v>
      </c>
      <c r="H32" s="14" t="s">
        <v>3</v>
      </c>
      <c r="I32" s="1"/>
    </row>
    <row r="33" spans="1:9" x14ac:dyDescent="0.25">
      <c r="A33" s="1"/>
      <c r="B33" s="137" t="s">
        <v>60</v>
      </c>
      <c r="C33" s="138"/>
      <c r="D33" s="138"/>
      <c r="E33" s="138"/>
      <c r="F33" s="139"/>
      <c r="G33" s="72">
        <f>(G31+G32)*'Fane 15. Nøgletal'!C31</f>
        <v>431200.40628954605</v>
      </c>
      <c r="H33" s="14" t="s">
        <v>3</v>
      </c>
      <c r="I33" s="1"/>
    </row>
    <row r="34" spans="1:9" x14ac:dyDescent="0.25">
      <c r="A34" s="1"/>
      <c r="B34" s="32"/>
      <c r="C34" s="27"/>
      <c r="D34" s="27"/>
      <c r="E34" s="27"/>
      <c r="F34" s="27"/>
      <c r="G34" s="74"/>
      <c r="H34" s="19"/>
      <c r="I34" s="1"/>
    </row>
    <row r="35" spans="1:9" x14ac:dyDescent="0.25">
      <c r="A35" s="1"/>
      <c r="B35" s="1"/>
      <c r="C35" s="1"/>
      <c r="D35" s="1"/>
      <c r="E35" s="1"/>
      <c r="F35" s="1"/>
      <c r="G35" s="75"/>
      <c r="H35" s="1"/>
      <c r="I35" s="1"/>
    </row>
    <row r="36" spans="1:9" x14ac:dyDescent="0.25">
      <c r="A36" s="1"/>
      <c r="B36" s="132" t="s">
        <v>160</v>
      </c>
      <c r="C36" s="133"/>
      <c r="D36" s="133"/>
      <c r="E36" s="133"/>
      <c r="F36" s="133"/>
      <c r="G36" s="140"/>
      <c r="H36" s="134"/>
      <c r="I36" s="1"/>
    </row>
    <row r="37" spans="1:9" x14ac:dyDescent="0.25">
      <c r="A37" s="1"/>
      <c r="B37" s="137" t="s">
        <v>79</v>
      </c>
      <c r="C37" s="138"/>
      <c r="D37" s="138"/>
      <c r="E37" s="138"/>
      <c r="F37" s="139"/>
      <c r="G37" s="72">
        <f>(G31+G32-G33)*(1+'Fane 15. Nøgletal'!C14)</f>
        <v>21198545.013884775</v>
      </c>
      <c r="H37" s="14" t="s">
        <v>3</v>
      </c>
      <c r="I37" s="1"/>
    </row>
    <row r="38" spans="1:9" x14ac:dyDescent="0.25">
      <c r="A38" s="1"/>
      <c r="B38" s="137" t="s">
        <v>164</v>
      </c>
      <c r="C38" s="138"/>
      <c r="D38" s="138"/>
      <c r="E38" s="138"/>
      <c r="F38" s="139"/>
      <c r="G38" s="72">
        <v>0</v>
      </c>
      <c r="H38" s="14" t="s">
        <v>3</v>
      </c>
      <c r="I38" s="1"/>
    </row>
    <row r="39" spans="1:9" x14ac:dyDescent="0.25">
      <c r="A39" s="1"/>
      <c r="B39" s="137" t="s">
        <v>162</v>
      </c>
      <c r="C39" s="138"/>
      <c r="D39" s="138"/>
      <c r="E39" s="138"/>
      <c r="F39" s="139"/>
      <c r="G39" s="72">
        <f>(G37+G38)*'Fane 15. Nøgletal'!C31</f>
        <v>423970.9002776955</v>
      </c>
      <c r="H39" s="14" t="s">
        <v>3</v>
      </c>
      <c r="I39" s="1"/>
    </row>
    <row r="40" spans="1:9" x14ac:dyDescent="0.25">
      <c r="A40" s="1"/>
      <c r="B40" s="32"/>
      <c r="C40" s="27"/>
      <c r="D40" s="27"/>
      <c r="E40" s="27"/>
      <c r="F40" s="27"/>
      <c r="G40" s="74"/>
      <c r="H40" s="19"/>
      <c r="I40" s="1"/>
    </row>
    <row r="41" spans="1:9" x14ac:dyDescent="0.25">
      <c r="A41" s="1"/>
      <c r="B41" s="1"/>
      <c r="C41" s="1"/>
      <c r="D41" s="1"/>
      <c r="E41" s="1"/>
      <c r="F41" s="1"/>
      <c r="G41" s="75"/>
      <c r="H41" s="1"/>
      <c r="I41" s="1"/>
    </row>
    <row r="42" spans="1:9" x14ac:dyDescent="0.25">
      <c r="A42" s="1"/>
      <c r="B42" s="132" t="s">
        <v>161</v>
      </c>
      <c r="C42" s="133"/>
      <c r="D42" s="133"/>
      <c r="E42" s="133"/>
      <c r="F42" s="133"/>
      <c r="G42" s="140"/>
      <c r="H42" s="134"/>
      <c r="I42" s="1"/>
    </row>
    <row r="43" spans="1:9" x14ac:dyDescent="0.25">
      <c r="A43" s="1"/>
      <c r="B43" s="137" t="s">
        <v>229</v>
      </c>
      <c r="C43" s="138"/>
      <c r="D43" s="138"/>
      <c r="E43" s="138"/>
      <c r="F43" s="139"/>
      <c r="G43" s="72">
        <f>(G37+G38-G39)*(1+'Fane 15. Nøgletal'!C14)</f>
        <v>20843130.208181985</v>
      </c>
      <c r="H43" s="14" t="s">
        <v>3</v>
      </c>
      <c r="I43" s="1"/>
    </row>
    <row r="44" spans="1:9" x14ac:dyDescent="0.25">
      <c r="A44" s="1"/>
      <c r="B44" s="141" t="s">
        <v>231</v>
      </c>
      <c r="C44" s="142"/>
      <c r="D44" s="142"/>
      <c r="E44" s="142"/>
      <c r="F44" s="143"/>
      <c r="G44" s="76">
        <f>('Fane 2.1. Økonomisk ramme 2023'!C10+'Fane 2.1. Økonomisk ramme 2023'!C12+'Fane 2.1. Økonomisk ramme 2023'!C14)*(1+'Fane 15. Nøgletal'!C15)</f>
        <v>22771.699454880003</v>
      </c>
      <c r="H44" s="14" t="s">
        <v>3</v>
      </c>
      <c r="I44" s="1"/>
    </row>
    <row r="45" spans="1:9" x14ac:dyDescent="0.25">
      <c r="A45" s="1"/>
      <c r="B45" s="137" t="s">
        <v>163</v>
      </c>
      <c r="C45" s="138"/>
      <c r="D45" s="138"/>
      <c r="E45" s="138"/>
      <c r="F45" s="139"/>
      <c r="G45" s="72">
        <f>SUM(G43:G44)*'Fane 15. Nøgletal'!C31</f>
        <v>417318.03815273731</v>
      </c>
      <c r="H45" s="14" t="s">
        <v>3</v>
      </c>
      <c r="I45" s="1"/>
    </row>
    <row r="46" spans="1:9" x14ac:dyDescent="0.25">
      <c r="A46" s="1"/>
      <c r="B46" s="32"/>
      <c r="C46" s="27"/>
      <c r="D46" s="27"/>
      <c r="E46" s="27"/>
      <c r="F46" s="27"/>
      <c r="G46" s="74"/>
      <c r="H46" s="19"/>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32" t="s">
        <v>242</v>
      </c>
      <c r="C51" s="133"/>
      <c r="D51" s="133"/>
      <c r="E51" s="133"/>
      <c r="F51" s="133"/>
      <c r="G51" s="140"/>
      <c r="H51" s="134"/>
      <c r="I51" s="1"/>
    </row>
    <row r="52" spans="1:9" x14ac:dyDescent="0.25">
      <c r="A52" s="1"/>
      <c r="B52" s="137" t="s">
        <v>228</v>
      </c>
      <c r="C52" s="138"/>
      <c r="D52" s="138"/>
      <c r="E52" s="138"/>
      <c r="F52" s="139"/>
      <c r="G52" s="72">
        <f>(G43+G44-G45)*(1+'Fane 15. Nøgletal'!C15)</f>
        <v>21176553.455237769</v>
      </c>
      <c r="H52" s="14" t="s">
        <v>3</v>
      </c>
      <c r="I52" s="1"/>
    </row>
    <row r="53" spans="1:9" x14ac:dyDescent="0.25">
      <c r="A53" s="1"/>
      <c r="B53" s="137" t="s">
        <v>138</v>
      </c>
      <c r="C53" s="138"/>
      <c r="D53" s="138"/>
      <c r="E53" s="138"/>
      <c r="F53" s="139"/>
      <c r="G53" s="72">
        <f>(G52)*'Fane 15. Nøgletal'!C31</f>
        <v>423531.06910475536</v>
      </c>
      <c r="H53" s="14" t="s">
        <v>3</v>
      </c>
      <c r="I53" s="1"/>
    </row>
    <row r="54" spans="1:9" x14ac:dyDescent="0.25">
      <c r="A54" s="1"/>
      <c r="B54" s="32"/>
      <c r="C54" s="27"/>
      <c r="D54" s="27"/>
      <c r="E54" s="27"/>
      <c r="F54" s="27"/>
      <c r="G54" s="74"/>
      <c r="H54" s="19"/>
      <c r="I54" s="1"/>
    </row>
    <row r="55" spans="1:9" x14ac:dyDescent="0.25">
      <c r="A55" s="1"/>
      <c r="B55" s="1"/>
      <c r="C55" s="1"/>
      <c r="D55" s="1"/>
      <c r="E55" s="1"/>
      <c r="F55" s="1"/>
      <c r="G55" s="75"/>
      <c r="H55" s="1"/>
      <c r="I55" s="1"/>
    </row>
    <row r="56" spans="1:9" x14ac:dyDescent="0.25">
      <c r="A56" s="1"/>
      <c r="B56" s="132" t="s">
        <v>150</v>
      </c>
      <c r="C56" s="133"/>
      <c r="D56" s="133"/>
      <c r="E56" s="133"/>
      <c r="F56" s="133"/>
      <c r="G56" s="140"/>
      <c r="H56" s="134"/>
      <c r="I56" s="1"/>
    </row>
    <row r="57" spans="1:9" x14ac:dyDescent="0.25">
      <c r="A57" s="1"/>
      <c r="B57" s="87" t="s">
        <v>151</v>
      </c>
      <c r="C57" s="88"/>
      <c r="D57" s="88"/>
      <c r="E57" s="88"/>
      <c r="F57" s="89"/>
      <c r="G57" s="72">
        <f>(G52-G53)*(1+'Fane 15. Nøgletal'!C15)</f>
        <v>21491829.983079348</v>
      </c>
      <c r="H57" s="14" t="s">
        <v>3</v>
      </c>
      <c r="I57" s="1"/>
    </row>
    <row r="58" spans="1:9" x14ac:dyDescent="0.25">
      <c r="A58" s="1"/>
      <c r="B58" s="87" t="s">
        <v>152</v>
      </c>
      <c r="C58" s="88"/>
      <c r="D58" s="88"/>
      <c r="E58" s="88"/>
      <c r="F58" s="89"/>
      <c r="G58" s="72">
        <f>(G57)*'Fane 15. Nøgletal'!C31</f>
        <v>429836.59966158698</v>
      </c>
      <c r="H58" s="14" t="s">
        <v>3</v>
      </c>
      <c r="I58" s="1"/>
    </row>
    <row r="59" spans="1:9" x14ac:dyDescent="0.25">
      <c r="A59" s="1"/>
      <c r="B59" s="32"/>
      <c r="C59" s="27"/>
      <c r="D59" s="27"/>
      <c r="E59" s="27"/>
      <c r="F59" s="27"/>
      <c r="G59" s="74"/>
      <c r="H59" s="19"/>
      <c r="I59" s="1"/>
    </row>
    <row r="60" spans="1:9" x14ac:dyDescent="0.25">
      <c r="A60" s="1"/>
      <c r="B60" s="1"/>
      <c r="C60" s="1"/>
      <c r="D60" s="1"/>
      <c r="E60" s="1"/>
      <c r="F60" s="1"/>
      <c r="G60" s="75"/>
      <c r="H60" s="1"/>
      <c r="I60" s="1"/>
    </row>
    <row r="61" spans="1:9" x14ac:dyDescent="0.25">
      <c r="A61" s="1"/>
      <c r="B61" s="132" t="s">
        <v>193</v>
      </c>
      <c r="C61" s="133"/>
      <c r="D61" s="133"/>
      <c r="E61" s="133"/>
      <c r="F61" s="133"/>
      <c r="G61" s="140"/>
      <c r="H61" s="134"/>
      <c r="I61" s="1"/>
    </row>
    <row r="62" spans="1:9" x14ac:dyDescent="0.25">
      <c r="A62" s="1"/>
      <c r="B62" s="87" t="s">
        <v>194</v>
      </c>
      <c r="C62" s="88"/>
      <c r="D62" s="88"/>
      <c r="E62" s="88"/>
      <c r="F62" s="89"/>
      <c r="G62" s="72">
        <f>(G57-G58)*(1+'Fane 15. Nøgletal'!C15)</f>
        <v>21811800.347867433</v>
      </c>
      <c r="H62" s="14" t="s">
        <v>3</v>
      </c>
      <c r="I62" s="1"/>
    </row>
    <row r="63" spans="1:9" x14ac:dyDescent="0.25">
      <c r="A63" s="1"/>
      <c r="B63" s="87" t="s">
        <v>195</v>
      </c>
      <c r="C63" s="88"/>
      <c r="D63" s="88"/>
      <c r="E63" s="88"/>
      <c r="F63" s="89"/>
      <c r="G63" s="72">
        <f>(G62)*'Fane 15. Nøgletal'!C31</f>
        <v>436236.00695734867</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sYPPYSyGvF0H0IgEod4xlHXkVqeGgH+dT4yf3XOBtcrfktVbOWAoBoqKkSIH2Tl+ixRyWmvlfP4Fy/aApljwIg==" saltValue="CCS7qRYLH5zmkGlHe1i7B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5703125" style="2" customWidth="1"/>
    <col min="2" max="5" width="9.140625" style="2"/>
    <col min="6" max="6" width="27.7109375" style="2" customWidth="1"/>
    <col min="7" max="7" width="14.140625" style="2" customWidth="1"/>
    <col min="8" max="8" width="3.28515625" style="2" customWidth="1"/>
    <col min="9" max="9" width="2.42578125" style="2" customWidth="1"/>
    <col min="10" max="16384" width="9.140625" style="2"/>
  </cols>
  <sheetData>
    <row r="1" spans="1:9" ht="14.25" customHeight="1" x14ac:dyDescent="0.25">
      <c r="A1" s="1"/>
      <c r="B1" s="147" t="s">
        <v>110</v>
      </c>
      <c r="C1" s="147"/>
      <c r="D1" s="147"/>
      <c r="E1" s="147"/>
      <c r="F1" s="147"/>
      <c r="G1" s="147"/>
      <c r="H1" s="147"/>
      <c r="I1" s="1"/>
    </row>
    <row r="2" spans="1:9" ht="15" customHeight="1" x14ac:dyDescent="0.25">
      <c r="A2" s="1"/>
      <c r="B2" s="147"/>
      <c r="C2" s="147"/>
      <c r="D2" s="147"/>
      <c r="E2" s="147"/>
      <c r="F2" s="147"/>
      <c r="G2" s="147"/>
      <c r="H2" s="147"/>
      <c r="I2" s="1"/>
    </row>
    <row r="3" spans="1:9" ht="21.75" customHeight="1" x14ac:dyDescent="0.25">
      <c r="A3" s="1"/>
      <c r="B3" s="148"/>
      <c r="C3" s="148"/>
      <c r="D3" s="148"/>
      <c r="E3" s="148"/>
      <c r="F3" s="148"/>
      <c r="G3" s="148"/>
      <c r="H3" s="148"/>
      <c r="I3" s="1"/>
    </row>
    <row r="4" spans="1:9" x14ac:dyDescent="0.25">
      <c r="A4" s="1"/>
      <c r="B4" s="132" t="s">
        <v>56</v>
      </c>
      <c r="C4" s="133"/>
      <c r="D4" s="133"/>
      <c r="E4" s="133"/>
      <c r="F4" s="133"/>
      <c r="G4" s="133"/>
      <c r="H4" s="134"/>
      <c r="I4" s="1"/>
    </row>
    <row r="5" spans="1:9" x14ac:dyDescent="0.25">
      <c r="A5" s="1"/>
      <c r="B5" s="137" t="s">
        <v>61</v>
      </c>
      <c r="C5" s="138"/>
      <c r="D5" s="138"/>
      <c r="E5" s="138"/>
      <c r="F5" s="139"/>
      <c r="G5" s="72">
        <v>10494444.951740351</v>
      </c>
      <c r="H5" s="14" t="s">
        <v>3</v>
      </c>
      <c r="I5" s="1"/>
    </row>
    <row r="6" spans="1:9" x14ac:dyDescent="0.25">
      <c r="A6" s="1"/>
      <c r="B6" s="137" t="s">
        <v>57</v>
      </c>
      <c r="C6" s="138"/>
      <c r="D6" s="138"/>
      <c r="E6" s="138"/>
      <c r="F6" s="139"/>
      <c r="G6" s="72">
        <f>G5*'Fane 15. Nøgletal'!C20</f>
        <v>95499.4490608372</v>
      </c>
      <c r="H6" s="14" t="s">
        <v>3</v>
      </c>
      <c r="I6" s="1"/>
    </row>
    <row r="7" spans="1:9" x14ac:dyDescent="0.25">
      <c r="A7" s="1"/>
      <c r="B7" s="32"/>
      <c r="C7" s="27"/>
      <c r="D7" s="27"/>
      <c r="E7" s="27"/>
      <c r="F7" s="27"/>
      <c r="G7" s="74"/>
      <c r="H7" s="19"/>
      <c r="I7" s="1"/>
    </row>
    <row r="8" spans="1:9" x14ac:dyDescent="0.25">
      <c r="A8" s="1"/>
      <c r="B8" s="1"/>
      <c r="C8" s="1"/>
      <c r="D8" s="1"/>
      <c r="E8" s="1"/>
      <c r="F8" s="1"/>
      <c r="G8" s="75"/>
      <c r="H8" s="1"/>
      <c r="I8" s="1"/>
    </row>
    <row r="9" spans="1:9" x14ac:dyDescent="0.25">
      <c r="A9" s="1"/>
      <c r="B9" s="132" t="s">
        <v>62</v>
      </c>
      <c r="C9" s="133"/>
      <c r="D9" s="133"/>
      <c r="E9" s="133"/>
      <c r="F9" s="133"/>
      <c r="G9" s="133"/>
      <c r="H9" s="134"/>
      <c r="I9" s="1"/>
    </row>
    <row r="10" spans="1:9" x14ac:dyDescent="0.25">
      <c r="A10" s="1"/>
      <c r="B10" s="137" t="s">
        <v>63</v>
      </c>
      <c r="C10" s="138"/>
      <c r="D10" s="138"/>
      <c r="E10" s="138"/>
      <c r="F10" s="139"/>
      <c r="G10" s="72">
        <f>(G5-G6)*(1+'Fane 15. Nøgletal'!C10)</f>
        <v>10580927.048976406</v>
      </c>
      <c r="H10" s="14" t="s">
        <v>3</v>
      </c>
      <c r="I10" s="1"/>
    </row>
    <row r="11" spans="1:9" x14ac:dyDescent="0.25">
      <c r="A11" s="1"/>
      <c r="B11" s="137" t="s">
        <v>122</v>
      </c>
      <c r="C11" s="138"/>
      <c r="D11" s="138"/>
      <c r="E11" s="138"/>
      <c r="F11" s="139"/>
      <c r="G11" s="72">
        <v>146527.44604555669</v>
      </c>
      <c r="H11" s="14" t="s">
        <v>3</v>
      </c>
      <c r="I11" s="1"/>
    </row>
    <row r="12" spans="1:9" x14ac:dyDescent="0.25">
      <c r="A12" s="1"/>
      <c r="B12" s="144" t="s">
        <v>64</v>
      </c>
      <c r="C12" s="145"/>
      <c r="D12" s="145"/>
      <c r="E12" s="145"/>
      <c r="F12" s="146"/>
      <c r="G12" s="73">
        <v>0</v>
      </c>
      <c r="H12" s="14" t="s">
        <v>3</v>
      </c>
      <c r="I12" s="1"/>
    </row>
    <row r="13" spans="1:9" x14ac:dyDescent="0.25">
      <c r="A13" s="1"/>
      <c r="B13" s="137" t="s">
        <v>65</v>
      </c>
      <c r="C13" s="138"/>
      <c r="D13" s="138"/>
      <c r="E13" s="138"/>
      <c r="F13" s="139"/>
      <c r="G13" s="72">
        <f>SUM(G10:G12)*'Fane 15. Nøgletal'!C21</f>
        <v>189875.94456188875</v>
      </c>
      <c r="H13" s="14" t="s">
        <v>3</v>
      </c>
      <c r="I13" s="1"/>
    </row>
    <row r="14" spans="1:9" x14ac:dyDescent="0.25">
      <c r="A14" s="1"/>
      <c r="B14" s="32"/>
      <c r="C14" s="27"/>
      <c r="D14" s="27"/>
      <c r="E14" s="27"/>
      <c r="F14" s="27"/>
      <c r="G14" s="74"/>
      <c r="H14" s="19"/>
      <c r="I14" s="1"/>
    </row>
    <row r="15" spans="1:9" x14ac:dyDescent="0.25">
      <c r="A15" s="1"/>
      <c r="B15" s="1"/>
      <c r="C15" s="1"/>
      <c r="D15" s="1"/>
      <c r="E15" s="1"/>
      <c r="F15" s="1"/>
      <c r="G15" s="75"/>
      <c r="H15" s="1"/>
      <c r="I15" s="1"/>
    </row>
    <row r="16" spans="1:9" x14ac:dyDescent="0.25">
      <c r="A16" s="1"/>
      <c r="B16" s="132" t="s">
        <v>66</v>
      </c>
      <c r="C16" s="133"/>
      <c r="D16" s="133"/>
      <c r="E16" s="133"/>
      <c r="F16" s="133"/>
      <c r="G16" s="133"/>
      <c r="H16" s="134"/>
      <c r="I16" s="1"/>
    </row>
    <row r="17" spans="1:9" x14ac:dyDescent="0.25">
      <c r="A17" s="1"/>
      <c r="B17" s="137" t="s">
        <v>67</v>
      </c>
      <c r="C17" s="138"/>
      <c r="D17" s="138"/>
      <c r="E17" s="138"/>
      <c r="F17" s="139"/>
      <c r="G17" s="72">
        <f>(SUM(G10:G12)-G13)*(1+'Fane 15. Nøgletal'!C10)</f>
        <v>10721986.175093126</v>
      </c>
      <c r="H17" s="14" t="s">
        <v>3</v>
      </c>
      <c r="I17" s="1"/>
    </row>
    <row r="18" spans="1:9" x14ac:dyDescent="0.25">
      <c r="A18" s="1"/>
      <c r="B18" s="144" t="s">
        <v>68</v>
      </c>
      <c r="C18" s="145"/>
      <c r="D18" s="145"/>
      <c r="E18" s="145"/>
      <c r="F18" s="146"/>
      <c r="G18" s="72">
        <v>0</v>
      </c>
      <c r="H18" s="14" t="s">
        <v>3</v>
      </c>
      <c r="I18" s="1"/>
    </row>
    <row r="19" spans="1:9" x14ac:dyDescent="0.25">
      <c r="A19" s="1"/>
      <c r="B19" s="137" t="s">
        <v>69</v>
      </c>
      <c r="C19" s="138"/>
      <c r="D19" s="138"/>
      <c r="E19" s="138"/>
      <c r="F19" s="139"/>
      <c r="G19" s="72">
        <f>G17*'Fane 15. Nøgletal'!C21+G18*'Fane 15. Nøgletal'!C22</f>
        <v>189779.15529914832</v>
      </c>
      <c r="H19" s="14" t="s">
        <v>3</v>
      </c>
      <c r="I19" s="1"/>
    </row>
    <row r="20" spans="1:9" x14ac:dyDescent="0.25">
      <c r="A20" s="1"/>
      <c r="B20" s="32"/>
      <c r="C20" s="27"/>
      <c r="D20" s="27"/>
      <c r="E20" s="27"/>
      <c r="F20" s="27"/>
      <c r="G20" s="74"/>
      <c r="H20" s="19"/>
      <c r="I20" s="1"/>
    </row>
    <row r="21" spans="1:9" x14ac:dyDescent="0.25">
      <c r="A21" s="1"/>
      <c r="B21" s="1"/>
      <c r="C21" s="1"/>
      <c r="D21" s="1"/>
      <c r="E21" s="1"/>
      <c r="F21" s="1"/>
      <c r="G21" s="75"/>
      <c r="H21" s="1"/>
      <c r="I21" s="1"/>
    </row>
    <row r="22" spans="1:9" x14ac:dyDescent="0.25">
      <c r="A22" s="1"/>
      <c r="B22" s="132" t="s">
        <v>70</v>
      </c>
      <c r="C22" s="133"/>
      <c r="D22" s="133"/>
      <c r="E22" s="133"/>
      <c r="F22" s="133"/>
      <c r="G22" s="133"/>
      <c r="H22" s="134"/>
      <c r="I22" s="1"/>
    </row>
    <row r="23" spans="1:9" x14ac:dyDescent="0.25">
      <c r="A23" s="1"/>
      <c r="B23" s="137" t="s">
        <v>71</v>
      </c>
      <c r="C23" s="138"/>
      <c r="D23" s="138"/>
      <c r="E23" s="138"/>
      <c r="F23" s="139"/>
      <c r="G23" s="72">
        <f>(G17+G18-G19)*(1+'Fane 15. Nøgletal'!C12)</f>
        <v>10739691.498083919</v>
      </c>
      <c r="H23" s="14" t="s">
        <v>3</v>
      </c>
      <c r="I23" s="1"/>
    </row>
    <row r="24" spans="1:9" x14ac:dyDescent="0.25">
      <c r="A24" s="1"/>
      <c r="B24" s="144" t="s">
        <v>72</v>
      </c>
      <c r="C24" s="145"/>
      <c r="D24" s="145"/>
      <c r="E24" s="145"/>
      <c r="F24" s="146"/>
      <c r="G24" s="72">
        <v>0</v>
      </c>
      <c r="H24" s="14" t="s">
        <v>3</v>
      </c>
      <c r="I24" s="1"/>
    </row>
    <row r="25" spans="1:9" x14ac:dyDescent="0.25">
      <c r="A25" s="1"/>
      <c r="B25" s="137" t="s">
        <v>73</v>
      </c>
      <c r="C25" s="138"/>
      <c r="D25" s="138"/>
      <c r="E25" s="138"/>
      <c r="F25" s="139"/>
      <c r="G25" s="72">
        <f>(G23+G24)*'Fane 15. Nøgletal'!C23</f>
        <v>305007.23854558333</v>
      </c>
      <c r="H25" s="14" t="s">
        <v>3</v>
      </c>
      <c r="I25" s="1"/>
    </row>
    <row r="26" spans="1:9" x14ac:dyDescent="0.25">
      <c r="A26" s="1"/>
      <c r="B26" s="32"/>
      <c r="C26" s="27"/>
      <c r="D26" s="27"/>
      <c r="E26" s="27"/>
      <c r="F26" s="27"/>
      <c r="G26" s="74"/>
      <c r="H26" s="19"/>
      <c r="I26" s="1"/>
    </row>
    <row r="27" spans="1:9" x14ac:dyDescent="0.25">
      <c r="A27" s="1"/>
      <c r="B27" s="1"/>
      <c r="C27" s="1"/>
      <c r="D27" s="1"/>
      <c r="E27" s="1"/>
      <c r="F27" s="1"/>
      <c r="G27" s="75"/>
      <c r="H27" s="1"/>
      <c r="I27" s="1"/>
    </row>
    <row r="28" spans="1:9" x14ac:dyDescent="0.25">
      <c r="A28" s="1"/>
      <c r="B28" s="132" t="s">
        <v>74</v>
      </c>
      <c r="C28" s="133"/>
      <c r="D28" s="133"/>
      <c r="E28" s="133"/>
      <c r="F28" s="133"/>
      <c r="G28" s="133"/>
      <c r="H28" s="134"/>
      <c r="I28" s="1"/>
    </row>
    <row r="29" spans="1:9" x14ac:dyDescent="0.25">
      <c r="A29" s="1"/>
      <c r="B29" s="137" t="s">
        <v>75</v>
      </c>
      <c r="C29" s="138"/>
      <c r="D29" s="138"/>
      <c r="E29" s="138"/>
      <c r="F29" s="139"/>
      <c r="G29" s="72">
        <f>(G23+G24-G25)*(1+'Fane 15. Nøgletal'!C12)</f>
        <v>10640247.539451241</v>
      </c>
      <c r="H29" s="14" t="s">
        <v>3</v>
      </c>
      <c r="I29" s="1"/>
    </row>
    <row r="30" spans="1:9" x14ac:dyDescent="0.25">
      <c r="A30" s="1"/>
      <c r="B30" s="137" t="s">
        <v>139</v>
      </c>
      <c r="C30" s="138"/>
      <c r="D30" s="138"/>
      <c r="E30" s="138"/>
      <c r="F30" s="139"/>
      <c r="G30" s="72">
        <v>0</v>
      </c>
      <c r="H30" s="14" t="s">
        <v>3</v>
      </c>
      <c r="I30" s="1"/>
    </row>
    <row r="31" spans="1:9" x14ac:dyDescent="0.25">
      <c r="A31" s="1"/>
      <c r="B31" s="137" t="s">
        <v>76</v>
      </c>
      <c r="C31" s="138"/>
      <c r="D31" s="138"/>
      <c r="E31" s="138"/>
      <c r="F31" s="139"/>
      <c r="G31" s="72">
        <f>G29*'Fane 15. Nøgletal'!C23+G30*'Fane 15. Nøgletal'!C24</f>
        <v>302183.03012041526</v>
      </c>
      <c r="H31" s="14" t="s">
        <v>3</v>
      </c>
      <c r="I31" s="1"/>
    </row>
    <row r="32" spans="1:9" x14ac:dyDescent="0.25">
      <c r="A32" s="1"/>
      <c r="B32" s="32"/>
      <c r="C32" s="27"/>
      <c r="D32" s="27"/>
      <c r="E32" s="27"/>
      <c r="F32" s="27"/>
      <c r="G32" s="74"/>
      <c r="H32" s="19"/>
      <c r="I32" s="1"/>
    </row>
    <row r="33" spans="1:9" x14ac:dyDescent="0.25">
      <c r="A33" s="1"/>
      <c r="B33" s="1"/>
      <c r="C33" s="1"/>
      <c r="D33" s="1"/>
      <c r="E33" s="1"/>
      <c r="F33" s="1"/>
      <c r="G33" s="75"/>
      <c r="H33" s="1"/>
      <c r="I33" s="1"/>
    </row>
    <row r="34" spans="1:9" x14ac:dyDescent="0.25">
      <c r="A34" s="1"/>
      <c r="B34" s="132" t="s">
        <v>165</v>
      </c>
      <c r="C34" s="133"/>
      <c r="D34" s="133"/>
      <c r="E34" s="133"/>
      <c r="F34" s="133"/>
      <c r="G34" s="133"/>
      <c r="H34" s="134"/>
      <c r="I34" s="1"/>
    </row>
    <row r="35" spans="1:9" x14ac:dyDescent="0.25">
      <c r="A35" s="1"/>
      <c r="B35" s="137" t="s">
        <v>78</v>
      </c>
      <c r="C35" s="138"/>
      <c r="D35" s="138"/>
      <c r="E35" s="138"/>
      <c r="F35" s="139"/>
      <c r="G35" s="72">
        <f>(G29+G30-G31)*(1+'Fane 15. Nøgletal'!C14)</f>
        <v>10372180.122211618</v>
      </c>
      <c r="H35" s="14" t="s">
        <v>3</v>
      </c>
      <c r="I35" s="1"/>
    </row>
    <row r="36" spans="1:9" x14ac:dyDescent="0.25">
      <c r="A36" s="1"/>
      <c r="B36" s="137" t="s">
        <v>167</v>
      </c>
      <c r="C36" s="138"/>
      <c r="D36" s="138"/>
      <c r="E36" s="138"/>
      <c r="F36" s="139"/>
      <c r="G36" s="72">
        <v>1195257.82367312</v>
      </c>
      <c r="H36" s="14" t="s">
        <v>3</v>
      </c>
      <c r="I36" s="1"/>
    </row>
    <row r="37" spans="1:9" x14ac:dyDescent="0.25">
      <c r="A37" s="1"/>
      <c r="B37" s="137" t="s">
        <v>166</v>
      </c>
      <c r="C37" s="138"/>
      <c r="D37" s="138"/>
      <c r="E37" s="138"/>
      <c r="F37" s="139"/>
      <c r="G37" s="72">
        <f>(G35+G36)*'Fane 15. Nøgletal'!C25</f>
        <v>171198.08159909412</v>
      </c>
      <c r="H37" s="14" t="s">
        <v>3</v>
      </c>
      <c r="I37" s="1"/>
    </row>
    <row r="38" spans="1:9" x14ac:dyDescent="0.25">
      <c r="A38" s="1"/>
      <c r="B38" s="32"/>
      <c r="C38" s="27"/>
      <c r="D38" s="27"/>
      <c r="E38" s="27"/>
      <c r="F38" s="27"/>
      <c r="G38" s="74"/>
      <c r="H38" s="19"/>
      <c r="I38" s="1"/>
    </row>
    <row r="39" spans="1:9" x14ac:dyDescent="0.25">
      <c r="A39" s="1"/>
      <c r="B39" s="1"/>
      <c r="C39" s="1"/>
      <c r="D39" s="1"/>
      <c r="E39" s="1"/>
      <c r="F39" s="1"/>
      <c r="G39" s="75"/>
      <c r="H39" s="1"/>
      <c r="I39" s="1"/>
    </row>
    <row r="40" spans="1:9" x14ac:dyDescent="0.25">
      <c r="A40" s="1"/>
      <c r="B40" s="132" t="s">
        <v>222</v>
      </c>
      <c r="C40" s="133"/>
      <c r="D40" s="133"/>
      <c r="E40" s="133"/>
      <c r="F40" s="133"/>
      <c r="G40" s="133"/>
      <c r="H40" s="134"/>
      <c r="I40" s="1"/>
    </row>
    <row r="41" spans="1:9" x14ac:dyDescent="0.25">
      <c r="A41" s="1"/>
      <c r="B41" s="137" t="s">
        <v>77</v>
      </c>
      <c r="C41" s="138"/>
      <c r="D41" s="138"/>
      <c r="E41" s="138"/>
      <c r="F41" s="139"/>
      <c r="G41" s="72">
        <f>(G35+G36-G37)*(1+'Fane 15. Nøgletal'!C14)</f>
        <v>11433847.455837788</v>
      </c>
      <c r="H41" s="14" t="s">
        <v>3</v>
      </c>
      <c r="I41" s="1"/>
    </row>
    <row r="42" spans="1:9" x14ac:dyDescent="0.25">
      <c r="A42" s="1"/>
      <c r="B42" s="43" t="s">
        <v>230</v>
      </c>
      <c r="C42" s="88"/>
      <c r="D42" s="88"/>
      <c r="E42" s="88"/>
      <c r="F42" s="89"/>
      <c r="G42" s="76">
        <f>('Fane 2.1. Økonomisk ramme 2023'!C11+'Fane 2.1. Økonomisk ramme 2023'!C13+'Fane 2.1. Økonomisk ramme 2023'!C15)*(1+'Fane 15. Nøgletal'!C15)</f>
        <v>0</v>
      </c>
      <c r="H42" s="14" t="s">
        <v>3</v>
      </c>
      <c r="I42" s="1"/>
    </row>
    <row r="43" spans="1:9" x14ac:dyDescent="0.25">
      <c r="A43" s="1"/>
      <c r="B43" s="137" t="s">
        <v>168</v>
      </c>
      <c r="C43" s="138"/>
      <c r="D43" s="138"/>
      <c r="E43" s="138"/>
      <c r="F43" s="139"/>
      <c r="G43" s="72">
        <f>(G41)*'Fane 15. Nøgletal'!C25+G42*'Fane 15. Nøgletal'!C26</f>
        <v>169220.94234639927</v>
      </c>
      <c r="H43" s="14" t="s">
        <v>3</v>
      </c>
      <c r="I43" s="1"/>
    </row>
    <row r="44" spans="1:9" x14ac:dyDescent="0.25">
      <c r="A44" s="1"/>
      <c r="B44" s="32"/>
      <c r="C44" s="27"/>
      <c r="D44" s="27"/>
      <c r="E44" s="27"/>
      <c r="F44" s="27"/>
      <c r="G44" s="74"/>
      <c r="H44" s="19"/>
      <c r="I44" s="1"/>
    </row>
    <row r="45" spans="1:9" x14ac:dyDescent="0.25">
      <c r="A45" s="1"/>
      <c r="B45" s="1"/>
      <c r="C45" s="1"/>
      <c r="D45" s="1"/>
      <c r="E45" s="1"/>
      <c r="F45" s="1"/>
      <c r="G45" s="75"/>
      <c r="H45" s="1"/>
      <c r="I45" s="1"/>
    </row>
    <row r="46" spans="1:9" x14ac:dyDescent="0.25">
      <c r="A46" s="1"/>
      <c r="B46" s="1"/>
      <c r="C46" s="1"/>
      <c r="D46" s="1"/>
      <c r="E46" s="1"/>
      <c r="F46" s="1"/>
      <c r="G46" s="75"/>
      <c r="H46" s="1"/>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
      <c r="C51" s="1"/>
      <c r="D51" s="1"/>
      <c r="E51" s="1"/>
      <c r="F51" s="1"/>
      <c r="G51" s="75"/>
      <c r="H51" s="1"/>
      <c r="I51" s="1"/>
    </row>
    <row r="52" spans="1:9" x14ac:dyDescent="0.25">
      <c r="A52" s="1"/>
      <c r="B52" s="132" t="s">
        <v>243</v>
      </c>
      <c r="C52" s="133"/>
      <c r="D52" s="133"/>
      <c r="E52" s="133"/>
      <c r="F52" s="133"/>
      <c r="G52" s="133"/>
      <c r="H52" s="134"/>
      <c r="I52" s="1"/>
    </row>
    <row r="53" spans="1:9" x14ac:dyDescent="0.25">
      <c r="A53" s="1"/>
      <c r="B53" s="137" t="s">
        <v>140</v>
      </c>
      <c r="C53" s="138"/>
      <c r="D53" s="138"/>
      <c r="E53" s="138"/>
      <c r="F53" s="139"/>
      <c r="G53" s="72">
        <f>(G41+G42-G43)*(1+'Fane 15. Nøgletal'!C15)</f>
        <v>11665647.217371684</v>
      </c>
      <c r="H53" s="14" t="s">
        <v>3</v>
      </c>
      <c r="I53" s="1"/>
    </row>
    <row r="54" spans="1:9" x14ac:dyDescent="0.25">
      <c r="A54" s="1"/>
      <c r="B54" s="137" t="s">
        <v>141</v>
      </c>
      <c r="C54" s="138"/>
      <c r="D54" s="138"/>
      <c r="E54" s="138"/>
      <c r="F54" s="139"/>
      <c r="G54" s="72">
        <f>(G53)*'Fane 15. Nøgletal'!C26</f>
        <v>0</v>
      </c>
      <c r="H54" s="14" t="s">
        <v>3</v>
      </c>
      <c r="I54" s="1"/>
    </row>
    <row r="55" spans="1:9" x14ac:dyDescent="0.25">
      <c r="A55" s="1"/>
      <c r="B55" s="32"/>
      <c r="C55" s="27"/>
      <c r="D55" s="27"/>
      <c r="E55" s="27"/>
      <c r="F55" s="27"/>
      <c r="G55" s="74"/>
      <c r="H55" s="19"/>
      <c r="I55" s="1"/>
    </row>
    <row r="56" spans="1:9" x14ac:dyDescent="0.25">
      <c r="A56" s="1"/>
      <c r="B56" s="1"/>
      <c r="C56" s="1"/>
      <c r="D56" s="1"/>
      <c r="E56" s="1"/>
      <c r="F56" s="1"/>
      <c r="G56" s="75"/>
      <c r="H56" s="1"/>
      <c r="I56" s="1"/>
    </row>
    <row r="57" spans="1:9" x14ac:dyDescent="0.25">
      <c r="A57" s="1"/>
      <c r="B57" s="132" t="s">
        <v>153</v>
      </c>
      <c r="C57" s="133"/>
      <c r="D57" s="133"/>
      <c r="E57" s="133"/>
      <c r="F57" s="133"/>
      <c r="G57" s="133"/>
      <c r="H57" s="134"/>
      <c r="I57" s="1"/>
    </row>
    <row r="58" spans="1:9" x14ac:dyDescent="0.25">
      <c r="A58" s="1"/>
      <c r="B58" s="137" t="s">
        <v>173</v>
      </c>
      <c r="C58" s="138"/>
      <c r="D58" s="138"/>
      <c r="E58" s="138"/>
      <c r="F58" s="139"/>
      <c r="G58" s="72">
        <f>(G53-G54)*(1+'Fane 15. Nøgletal'!C15)</f>
        <v>12080944.258310117</v>
      </c>
      <c r="H58" s="14" t="s">
        <v>3</v>
      </c>
      <c r="I58" s="1"/>
    </row>
    <row r="59" spans="1:9" x14ac:dyDescent="0.25">
      <c r="A59" s="1"/>
      <c r="B59" s="137" t="s">
        <v>174</v>
      </c>
      <c r="C59" s="138"/>
      <c r="D59" s="138"/>
      <c r="E59" s="138"/>
      <c r="F59" s="139"/>
      <c r="G59" s="72">
        <f>(G58)*'Fane 15. Nøgletal'!C26</f>
        <v>0</v>
      </c>
      <c r="H59" s="14" t="s">
        <v>3</v>
      </c>
      <c r="I59" s="1"/>
    </row>
    <row r="60" spans="1:9" x14ac:dyDescent="0.25">
      <c r="A60" s="1"/>
      <c r="B60" s="32"/>
      <c r="C60" s="27"/>
      <c r="D60" s="27"/>
      <c r="E60" s="27"/>
      <c r="F60" s="27"/>
      <c r="G60" s="74"/>
      <c r="H60" s="19"/>
      <c r="I60" s="1"/>
    </row>
    <row r="61" spans="1:9" x14ac:dyDescent="0.25">
      <c r="A61" s="1"/>
      <c r="B61" s="1"/>
      <c r="C61" s="1"/>
      <c r="D61" s="1"/>
      <c r="E61" s="1"/>
      <c r="F61" s="1"/>
      <c r="G61" s="75"/>
      <c r="H61" s="1"/>
      <c r="I61" s="1"/>
    </row>
    <row r="62" spans="1:9" x14ac:dyDescent="0.25">
      <c r="A62" s="1"/>
      <c r="B62" s="132" t="s">
        <v>196</v>
      </c>
      <c r="C62" s="133"/>
      <c r="D62" s="133"/>
      <c r="E62" s="133"/>
      <c r="F62" s="133"/>
      <c r="G62" s="133"/>
      <c r="H62" s="134"/>
      <c r="I62" s="1"/>
    </row>
    <row r="63" spans="1:9" x14ac:dyDescent="0.25">
      <c r="A63" s="1"/>
      <c r="B63" s="137" t="s">
        <v>197</v>
      </c>
      <c r="C63" s="138"/>
      <c r="D63" s="138"/>
      <c r="E63" s="138"/>
      <c r="F63" s="139"/>
      <c r="G63" s="72">
        <f>(G58-G59)*(1+'Fane 15. Nøgletal'!C15)</f>
        <v>12511025.873905959</v>
      </c>
      <c r="H63" s="14" t="s">
        <v>3</v>
      </c>
      <c r="I63" s="1"/>
    </row>
    <row r="64" spans="1:9" x14ac:dyDescent="0.25">
      <c r="A64" s="1"/>
      <c r="B64" s="137" t="s">
        <v>198</v>
      </c>
      <c r="C64" s="138"/>
      <c r="D64" s="138"/>
      <c r="E64" s="138"/>
      <c r="F64" s="139"/>
      <c r="G64" s="72">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7jQfhbCzAJnvkvvXa0yRMexXwEfVjcIdRwOPlVydPCqKcnbwEcWotHbz9uxaGIW90OEqO/7krijmbR92WMqSgQ==" saltValue="pDsM1F8bcivbAxjX2DH32w==" spinCount="100000" sheet="1" objects="1" scenarios="1"/>
  <mergeCells count="37">
    <mergeCell ref="B1:H3"/>
    <mergeCell ref="B62:H62"/>
    <mergeCell ref="B63:F63"/>
    <mergeCell ref="B64:F64"/>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0" t="s">
        <v>88</v>
      </c>
      <c r="C3" s="120"/>
      <c r="D3" s="120"/>
      <c r="E3" s="120"/>
      <c r="F3" s="120"/>
      <c r="G3" s="120"/>
      <c r="H3" s="1"/>
    </row>
    <row r="4" spans="1:8" ht="15" customHeight="1" x14ac:dyDescent="0.25">
      <c r="A4" s="1"/>
      <c r="B4" s="120"/>
      <c r="C4" s="120"/>
      <c r="D4" s="120"/>
      <c r="E4" s="120"/>
      <c r="F4" s="120"/>
      <c r="G4" s="12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0"/>
      <c r="D8" s="150"/>
      <c r="E8" s="150"/>
      <c r="F8" s="150"/>
      <c r="G8" s="150"/>
      <c r="H8" s="1"/>
    </row>
    <row r="9" spans="1:8" x14ac:dyDescent="0.25">
      <c r="A9" s="1"/>
      <c r="B9" s="151" t="s">
        <v>154</v>
      </c>
      <c r="C9" s="151"/>
      <c r="D9" s="151"/>
      <c r="E9" s="151"/>
      <c r="F9" s="151"/>
      <c r="G9" s="35">
        <v>1.0839770900167316E-3</v>
      </c>
      <c r="H9" s="1"/>
    </row>
    <row r="10" spans="1:8" x14ac:dyDescent="0.25">
      <c r="A10" s="1"/>
      <c r="B10" s="152"/>
      <c r="C10" s="153"/>
      <c r="D10" s="153"/>
      <c r="E10" s="153"/>
      <c r="F10" s="153"/>
      <c r="G10" s="154"/>
      <c r="H10" s="1"/>
    </row>
    <row r="11" spans="1:8" ht="29.25" customHeight="1" x14ac:dyDescent="0.25">
      <c r="A11" s="1"/>
      <c r="B11" s="149" t="s">
        <v>237</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C8FIhTpgghd5fjkZRbI2TPjagji9h75n7SZjvQnIfRikkCAE3cJqcaLXIo0bNmacdBEE3ueG7nMi250l0ebD8A==" saltValue="ZHEuHHpDXHEr+M8SVL8pBg=="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2022-12-06T11:25:15Z</dcterms:modified>
</cp:coreProperties>
</file>