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FORS Spildevand Roskilde AS (S080)\ØR2025\"/>
    </mc:Choice>
  </mc:AlternateContent>
  <xr:revisionPtr revIDLastSave="0" documentId="13_ncr:1_{1CF02FD4-B1BA-4102-ABF5-B9AF2A37819C}"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E15" i="39" l="1"/>
  <c r="C15" i="39" l="1"/>
  <c r="C9" i="20" l="1"/>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6" i="39"/>
  <c r="C16" i="39"/>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<sst xmlns="http://schemas.openxmlformats.org/spreadsheetml/2006/main" count="561" uniqueCount="240">
  <si>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</si>
  <si>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</si>
  <si>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</si>
  <si>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</si>
  <si>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</si>
  <si>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</si>
  <si>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</si>
  <si>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</si>
  <si>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</si>
  <si>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</si>
  <si>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</si>
  <si>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</si>
  <si>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</si>
  <si>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</si>
  <si>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</si>
  <si>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</si>
  <si>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</si>
  <si>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</si>
  <si>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</si>
  <si>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</si>
  <si>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</si>
  <si>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</si>
  <si>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</si>
  <si>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</si>
  <si>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</si>
  <si>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</si>
  <si>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</si>
  <si>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</si>
  <si>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</si>
  <si>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</si>
  <si>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</si>
  <si>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</si>
  <si>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</si>
  <si>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</si>
  <si>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</si>
  <si>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</si>
  <si>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</si>
  <si>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</si>
  <si>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</si>
  <si>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</si>
  <si>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</si>
  <si>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</si>
  <si>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</si>
  <si>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</si>
  <si>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</si>
  <si>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</si>
  <si>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</si>
  <si>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</si>
  <si>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</si>
  <si>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</si>
  <si>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</si>
  <si>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</si>
  <si>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</si>
  <si>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</si>
  <si>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</si>
  <si>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</si>
  <si>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</si>
  <si>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</si>
  <si>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</si>
  <si>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</si>
  <si>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</si>
  <si>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</si>
  <si>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</si>
  <si>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</si>
  <si>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</si>
  <si>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</si>
  <si>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</si>
  <si>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</si>
  <si>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</si>
  <si>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</si>
  <si>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</si>
  <si>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</si>
  <si>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</si>
  <si>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</si>
  <si>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</si>
  <si>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</si>
  <si>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</si>
  <si>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</si>
  <si>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</si>
  <si>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</si>
  <si>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</si>
  <si>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</si>
  <si>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</si>
  <si>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</si>
  <si>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</si>
  <si>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</si>
  <si>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</si>
  <si>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</si>
  <si>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</si>
  <si>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</si>
  <si>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</si>
  <si>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</si>
  <si>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</si>
  <si>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</si>
  <si>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</si>
  <si>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</si>
  <si>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</si>
  <si>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</si>
  <si>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</si>
  <si>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</si>
  <si>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</si>
  <si>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</si>
  <si>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</si>
  <si>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</si>
  <si>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</si>
  <si>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</si>
  <si>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</si>
  <si>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</si>
  <si>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</si>
  <si>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</si>
  <si>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</si>
  <si>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</si>
  <si>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</si>
  <si>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</si>
  <si>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</si>
  <si>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</si>
  <si>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</si>
  <si>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</si>
  <si>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</si>
  <si>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</si>
  <si>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</si>
  <si>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</si>
  <si>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</si>
  <si>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</si>
  <si>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</si>
  <si>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</si>
  <si>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</si>
  <si>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</si>
  <si>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</si>
  <si>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</si>
  <si>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</si>
  <si>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</si>
  <si>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</si>
  <si>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</si>
  <si>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</si>
  <si>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</si>
  <si>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</si>
  <si>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</si>
  <si>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</si>
  <si>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</si>
  <si>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</si>
  <si>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</si>
  <si>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</si>
  <si>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</si>
  <si>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</si>
  <si>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</si>
  <si>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</si>
  <si>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</si>
  <si>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</si>
  <si>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</si>
  <si>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</si>
  <si>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</si>
  <si>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</si>
  <si>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</si>
  <si>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</si>
  <si>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</si>
  <si>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</si>
  <si>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</si>
  <si>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</si>
  <si>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</si>
  <si>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</si>
  <si>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</si>
  <si>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</si>
  <si>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</si>
  <si>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</si>
  <si>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</si>
  <si>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</si>
  <si>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</si>
  <si>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</si>
  <si>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</si>
  <si>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</si>
  <si>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</si>
  <si>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</si>
  <si>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</si>
  <si>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</si>
  <si>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</si>
  <si>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</si>
  <si>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</si>
  <si>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</si>
  <si>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</si>
  <si>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</si>
  <si>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</si>
  <si>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</si>
  <si>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</si>
  <si>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</si>
  <si>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</si>
  <si>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</si>
  <si>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</si>
  <si>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</si>
  <si>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</si>
  <si>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</si>
  <si>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</si>
  <si>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</si>
  <si>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</si>
  <si>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</si>
  <si>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</si>
  <si>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</si>
  <si>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</si>
  <si>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</si>
  <si>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</si>
  <si>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</si>
  <si>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</si>
  <si>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</si>
  <si>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</si>
  <si>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</si>
  <si>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</si>
  <si>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</si>
  <si>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</si>
  <si>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</si>
  <si>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</si>
  <si>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</si>
  <si>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</si>
  <si>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</si>
  <si>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</si>
  <si>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</si>
  <si>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</si>
  <si>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</si>
  <si>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</si>
  <si>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</si>
  <si>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</si>
  <si>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</si>
  <si>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</si>
  <si>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</si>
  <si>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</si>
  <si>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</si>
  <si>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</si>
  <si>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</si>
  <si>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</si>
  <si>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</si>
  <si>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</si>
  <si>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</si>
  <si>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Erstatninger</t>
  </si>
  <si>
    <t>Gebyr til Miljøstyrelsen</t>
  </si>
  <si>
    <t>10189 Festivalområdet/Dyreskuepladsen/Milen- Driftsomkostninger</t>
  </si>
  <si>
    <t>FSR-000172-02 Ristehus - Bjergmarken Rens</t>
  </si>
  <si>
    <t>FSR- Byggemodninger og stikledninger 2023</t>
  </si>
  <si>
    <t>Periodevise driftsomkostninger - oprens. af bassin (projekt-ID FSR-000040-04-01)</t>
  </si>
  <si>
    <t>Periodevise driftsomkostninger - oprens. af bassin (projekt-ID FSR-000037-15-01)</t>
  </si>
  <si>
    <t xml:space="preserve">Periodevise driftsomkostninger - oprens. af bassin 2023 </t>
  </si>
  <si>
    <t xml:space="preserve">Periodevise driftsomkostninger - oprens. af bassin 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</si>
</sst>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226</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9wUzgcEVEbFVssB3lKPx65TwPfQFL0RN1uQX13CGoQXl46pAD6auV+WeedhMO2GxNxqCNljCNtGTBOPcW3DNOQ==" saltValue="QeM3CQoWkLFrwYnZ+aHoO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2" t="s">
        <v>227</v>
      </c>
      <c r="C10" s="73">
        <v>2141485</v>
      </c>
      <c r="D10" s="14" t="s">
        <v>3</v>
      </c>
      <c r="E10" s="1"/>
    </row>
    <row r="11" spans="1:5" ht="15" customHeight="1" x14ac:dyDescent="0.25">
      <c r="A11" s="1"/>
      <c r="B11" s="72" t="s">
        <v>228</v>
      </c>
      <c r="C11" s="73">
        <v>125300</v>
      </c>
      <c r="D11" s="14" t="s">
        <v>3</v>
      </c>
      <c r="E11" s="1"/>
    </row>
    <row r="12" spans="1:5" ht="25.5" x14ac:dyDescent="0.25">
      <c r="A12" s="1"/>
      <c r="B12" s="72" t="s">
        <v>229</v>
      </c>
      <c r="C12" s="73">
        <v>47988</v>
      </c>
      <c r="D12" s="14" t="s">
        <v>3</v>
      </c>
      <c r="E12" s="1"/>
    </row>
    <row r="13" spans="1:5" x14ac:dyDescent="0.25">
      <c r="A13" s="1"/>
      <c r="B13" s="72" t="s">
        <v>230</v>
      </c>
      <c r="C13" s="73">
        <v>627760</v>
      </c>
      <c r="D13" s="14" t="s">
        <v>3</v>
      </c>
      <c r="E13" s="1"/>
    </row>
    <row r="14" spans="1:5" x14ac:dyDescent="0.25">
      <c r="A14" s="1"/>
      <c r="B14" s="72" t="s">
        <v>231</v>
      </c>
      <c r="C14" s="73">
        <v>1430760</v>
      </c>
      <c r="D14" s="14" t="s">
        <v>3</v>
      </c>
      <c r="E14" s="1"/>
    </row>
    <row r="15" spans="1:5" x14ac:dyDescent="0.25">
      <c r="A15" s="1"/>
      <c r="B15" s="72" t="s">
        <v>232</v>
      </c>
      <c r="C15" s="73">
        <v>23610</v>
      </c>
      <c r="D15" s="14" t="s">
        <v>3</v>
      </c>
      <c r="E15" s="1"/>
    </row>
    <row r="16" spans="1:5" x14ac:dyDescent="0.25">
      <c r="A16" s="1"/>
      <c r="B16" s="72"/>
      <c r="C16" s="73"/>
      <c r="D16" s="14" t="s">
        <v>3</v>
      </c>
      <c r="E16" s="1"/>
    </row>
    <row r="17" spans="1:5" x14ac:dyDescent="0.25">
      <c r="A17" s="1"/>
      <c r="B17" s="72"/>
      <c r="C17" s="73"/>
      <c r="D17" s="14" t="s">
        <v>3</v>
      </c>
      <c r="E17" s="1"/>
    </row>
    <row r="18" spans="1:5" x14ac:dyDescent="0.25">
      <c r="A18" s="1"/>
      <c r="B18" s="72"/>
      <c r="C18" s="73"/>
      <c r="D18" s="14" t="s">
        <v>3</v>
      </c>
      <c r="E18" s="1"/>
    </row>
    <row r="19" spans="1:5" x14ac:dyDescent="0.25">
      <c r="A19" s="1"/>
      <c r="B19" s="72"/>
      <c r="C19" s="73"/>
      <c r="D19" s="14" t="s">
        <v>3</v>
      </c>
      <c r="E19" s="1"/>
    </row>
    <row r="20" spans="1:5" x14ac:dyDescent="0.25">
      <c r="A20" s="1"/>
      <c r="B20" s="33" t="s">
        <v>167</v>
      </c>
      <c r="C20" s="12">
        <f>SUM(C10:C19)</f>
        <v>4396903</v>
      </c>
      <c r="D20" s="13" t="s">
        <v>3</v>
      </c>
      <c r="E20" s="1"/>
    </row>
    <row r="21" spans="1:5" x14ac:dyDescent="0.25">
      <c r="A21" s="1"/>
      <c r="B21" s="33" t="s">
        <v>168</v>
      </c>
      <c r="C21" s="12">
        <f>C20*(1+'Fane 15. Nøgletal'!C10)^2</f>
        <v>4999259.7603480704</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kGepFmJBCA7qtSKvjScSM3mwi0DZDkoVo6knQw6ZxMB1hdCFwJlB9Gln0RGPJkKOo8KWUnJDhoTRFBLgtvKL8g==" saltValue="iGUAaJ/HIp9qN0EZHH/Qg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-4764632.3035124838</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-2382316.1517562419</v>
      </c>
      <c r="D14" s="14" t="s">
        <v>3</v>
      </c>
      <c r="E14" s="1"/>
    </row>
    <row r="15" spans="1:5" x14ac:dyDescent="0.25">
      <c r="A15" s="1"/>
      <c r="B15" s="65" t="s">
        <v>203</v>
      </c>
      <c r="C15" s="9">
        <v>-2382316.1517562419</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127340111.21298951</v>
      </c>
      <c r="D20" s="14" t="s">
        <v>3</v>
      </c>
      <c r="E20" s="1"/>
    </row>
    <row r="21" spans="1:5" x14ac:dyDescent="0.25">
      <c r="A21" s="1"/>
      <c r="B21" s="65" t="s">
        <v>207</v>
      </c>
      <c r="C21" s="9">
        <v>115460252</v>
      </c>
      <c r="D21" s="14" t="s">
        <v>3</v>
      </c>
      <c r="E21" s="1"/>
    </row>
    <row r="22" spans="1:5" x14ac:dyDescent="0.25">
      <c r="A22" s="1"/>
      <c r="B22" s="65" t="s">
        <v>29</v>
      </c>
      <c r="C22" s="9">
        <v>0</v>
      </c>
      <c r="D22" s="14" t="s">
        <v>3</v>
      </c>
      <c r="E22" s="1"/>
    </row>
    <row r="23" spans="1:5" x14ac:dyDescent="0.25">
      <c r="A23" s="1"/>
      <c r="B23" s="82" t="s">
        <v>208</v>
      </c>
      <c r="C23" s="57">
        <f>C20-C21-C22</f>
        <v>11879859.212989509</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2382316.1517562419</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XF4sl8VNTvVIFWEloEmq3HMplYxx22JYvYB3rozyA8CdRjtZWqEy5BYY1AOHR0vQ/e+NnczPHiscJStaFxujGQ==" saltValue="Ju7ZI/PW3HgSV0UTWinVlQ=="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8yT8kzEosE4Nxf0pm6hJBEFHGVFw4hGPB8Y7eV4h37U4n8gQThjbXdAjJjCjRJfhAN+jKIJkHtozqKuN/H8RRA==" saltValue="90IC4x8gFwwgF6OnZVrTH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215</v>
      </c>
      <c r="C9" s="7">
        <v>3542863.5247442601</v>
      </c>
      <c r="D9" s="8" t="s">
        <v>3</v>
      </c>
      <c r="E9" s="1"/>
    </row>
    <row r="10" spans="1:5" ht="14.25" customHeight="1" x14ac:dyDescent="0.25">
      <c r="A10" s="1"/>
      <c r="B10" s="65" t="s">
        <v>172</v>
      </c>
      <c r="C10" s="7">
        <v>0</v>
      </c>
      <c r="D10" s="8" t="s">
        <v>3</v>
      </c>
      <c r="E10" s="1"/>
    </row>
    <row r="11" spans="1:5" ht="14.25" customHeight="1" x14ac:dyDescent="0.25">
      <c r="A11" s="1"/>
      <c r="B11" s="82" t="s">
        <v>48</v>
      </c>
      <c r="C11" s="10">
        <f>C10-C9</f>
        <v>-3542863.5247442601</v>
      </c>
      <c r="D11" s="11" t="s">
        <v>3</v>
      </c>
      <c r="E11" s="1"/>
    </row>
    <row r="12" spans="1:5" ht="14.25" customHeight="1" x14ac:dyDescent="0.25">
      <c r="A12" s="1"/>
      <c r="B12" s="108" t="s">
        <v>217</v>
      </c>
      <c r="C12" s="109"/>
      <c r="D12" s="110"/>
      <c r="E12" s="1"/>
    </row>
    <row r="13" spans="1:5" ht="26.25" x14ac:dyDescent="0.25">
      <c r="A13" s="1"/>
      <c r="B13" s="79" t="s">
        <v>216</v>
      </c>
      <c r="C13" s="7"/>
      <c r="D13" s="8" t="s">
        <v>3</v>
      </c>
      <c r="E13" s="1"/>
    </row>
    <row r="14" spans="1:5" ht="14.25" customHeight="1" x14ac:dyDescent="0.25">
      <c r="A14" s="1"/>
      <c r="B14" s="65" t="s">
        <v>173</v>
      </c>
      <c r="C14" s="7"/>
      <c r="D14" s="8" t="s">
        <v>3</v>
      </c>
      <c r="E14" s="1"/>
    </row>
    <row r="15" spans="1:5" ht="14.25" customHeight="1" x14ac:dyDescent="0.25">
      <c r="A15" s="1"/>
      <c r="B15" s="82" t="s">
        <v>48</v>
      </c>
      <c r="C15" s="10">
        <f>C14-C13</f>
        <v>0</v>
      </c>
      <c r="D15" s="11" t="s">
        <v>3</v>
      </c>
      <c r="E15" s="1"/>
    </row>
    <row r="16" spans="1:5" ht="14.25" customHeight="1" x14ac:dyDescent="0.25">
      <c r="A16" s="1"/>
      <c r="B16" s="33" t="s">
        <v>174</v>
      </c>
      <c r="C16" s="12">
        <f>C11+C15</f>
        <v>-3542863.5247442601</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yErGDo+58BY5LwwPNSoExAWAa955U/1zxMqoibt+Ff7LNvfNuYZm54BEEID3DOhXMJpAbYLesJdoD9YE6apvyg==" saltValue="2WWXzP5tLRU+eo+zR10EK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6" t="s">
        <v>219</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57CfobY4UXCpMuQkac0+7rhkmhSNiEEcT812iRSxlfIxwydLUQEGyOP6wr7xjcreBQd3JOmfEWK+zQ83R/d+Ng==" saltValue="bduU5KQreZ7WAxyS+N6Jbg=="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233</v>
      </c>
      <c r="C11" s="21">
        <v>585890</v>
      </c>
      <c r="D11" s="14" t="s">
        <v>3</v>
      </c>
      <c r="E11" s="9">
        <v>0</v>
      </c>
      <c r="F11" s="14" t="s">
        <v>3</v>
      </c>
      <c r="G11" s="1"/>
    </row>
    <row r="12" spans="1:7" x14ac:dyDescent="0.25">
      <c r="A12" s="1"/>
      <c r="B12" s="24" t="s">
        <v>234</v>
      </c>
      <c r="C12" s="21">
        <v>0</v>
      </c>
      <c r="D12" s="14" t="s">
        <v>3</v>
      </c>
      <c r="E12" s="9">
        <v>3514132</v>
      </c>
      <c r="F12" s="14" t="s">
        <v>3</v>
      </c>
      <c r="G12" s="1"/>
    </row>
    <row r="13" spans="1:7" x14ac:dyDescent="0.25">
      <c r="A13" s="1"/>
      <c r="B13" s="24" t="s">
        <v>235</v>
      </c>
      <c r="C13" s="21">
        <v>7919</v>
      </c>
      <c r="D13" s="14" t="s">
        <v>3</v>
      </c>
      <c r="E13" s="9">
        <v>127233</v>
      </c>
      <c r="F13" s="14" t="s">
        <v>3</v>
      </c>
      <c r="G13" s="1"/>
    </row>
    <row r="14" spans="1:7" x14ac:dyDescent="0.25">
      <c r="A14" s="1"/>
      <c r="B14" s="24" t="s">
        <v>236</v>
      </c>
      <c r="C14" s="21">
        <v>52725</v>
      </c>
      <c r="D14" s="14" t="s">
        <v>3</v>
      </c>
      <c r="E14" s="9">
        <v>0</v>
      </c>
      <c r="F14" s="14" t="s">
        <v>3</v>
      </c>
      <c r="G14" s="1"/>
    </row>
    <row r="15" spans="1:7" x14ac:dyDescent="0.25">
      <c r="A15" s="1"/>
      <c r="B15" s="24" t="s">
        <v>237</v>
      </c>
      <c r="C15" s="21">
        <v>222103</v>
      </c>
      <c r="D15" s="14" t="s">
        <v>3</v>
      </c>
      <c r="E15" s="9">
        <v>0</v>
      </c>
      <c r="F15" s="14" t="s">
        <v>3</v>
      </c>
      <c r="G15" s="1"/>
    </row>
    <row r="16" spans="1:7" x14ac:dyDescent="0.25">
      <c r="A16" s="1"/>
      <c r="B16" s="24" t="s">
        <v>238</v>
      </c>
      <c r="C16" s="21">
        <v>394003</v>
      </c>
      <c r="D16" s="14" t="s">
        <v>3</v>
      </c>
      <c r="E16" s="9">
        <v>0</v>
      </c>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1262640</v>
      </c>
      <c r="D19" s="13" t="s">
        <v>3</v>
      </c>
      <c r="E19" s="12">
        <f>SUM(E10:E18)</f>
        <v>3641365</v>
      </c>
      <c r="F19" s="13" t="s">
        <v>3</v>
      </c>
      <c r="G19" s="1"/>
    </row>
    <row r="20" spans="1:7" x14ac:dyDescent="0.25">
      <c r="A20" s="1"/>
      <c r="B20" s="33" t="s">
        <v>175</v>
      </c>
      <c r="C20" s="12">
        <f>C19*(1+'Fane 15. Nøgletal'!C10)</f>
        <v>1346353.0320000001</v>
      </c>
      <c r="D20" s="13" t="s">
        <v>3</v>
      </c>
      <c r="E20" s="12">
        <f>E19*(1+'Fane 15. Nøgletal'!C10)</f>
        <v>3882787.4994999999</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LCSJCg9+vUIUnJHfM5UIkwmL4f6xHFxfgYGkI5DNWg0x7EZgNGkOExqvsvASbrzgwTMoFlUhh6lX9jVI4i2vXw==" saltValue="198vmzCipdEQ7/SKDKuPO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2"/>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24"/>
      <c r="C10" s="21"/>
      <c r="D10" s="14" t="s">
        <v>3</v>
      </c>
      <c r="E10" s="9"/>
      <c r="F10" s="14" t="s">
        <v>3</v>
      </c>
      <c r="G10" s="1"/>
    </row>
    <row r="11" spans="1:7" ht="26.25" x14ac:dyDescent="0.25">
      <c r="A11" s="1"/>
      <c r="B11" s="70" t="s">
        <v>236</v>
      </c>
      <c r="C11" s="21">
        <v>527254</v>
      </c>
      <c r="D11" s="14" t="s">
        <v>3</v>
      </c>
      <c r="E11" s="9">
        <v>0</v>
      </c>
      <c r="F11" s="14" t="s">
        <v>3</v>
      </c>
      <c r="G11" s="1"/>
    </row>
    <row r="12" spans="1:7" ht="26.25" x14ac:dyDescent="0.25">
      <c r="A12" s="1"/>
      <c r="B12" s="70" t="s">
        <v>237</v>
      </c>
      <c r="C12" s="21">
        <v>2221032</v>
      </c>
      <c r="D12" s="14" t="s">
        <v>3</v>
      </c>
      <c r="E12" s="9">
        <v>0</v>
      </c>
      <c r="F12" s="14" t="s">
        <v>3</v>
      </c>
      <c r="G12" s="1"/>
    </row>
    <row r="13" spans="1:7" ht="26.25" x14ac:dyDescent="0.25">
      <c r="A13" s="1"/>
      <c r="B13" s="70" t="s">
        <v>239</v>
      </c>
      <c r="C13" s="21">
        <v>3940030</v>
      </c>
      <c r="D13" s="14" t="s">
        <v>3</v>
      </c>
      <c r="E13" s="21">
        <v>0</v>
      </c>
      <c r="F13" s="14" t="s">
        <v>3</v>
      </c>
      <c r="G13" s="1"/>
    </row>
    <row r="14" spans="1:7" x14ac:dyDescent="0.25">
      <c r="A14" s="1"/>
      <c r="B14" s="24" t="s">
        <v>234</v>
      </c>
      <c r="C14" s="21">
        <v>0</v>
      </c>
      <c r="D14" s="14" t="s">
        <v>3</v>
      </c>
      <c r="E14" s="21">
        <v>440291</v>
      </c>
      <c r="F14" s="14" t="s">
        <v>3</v>
      </c>
      <c r="G14" s="1"/>
    </row>
    <row r="15" spans="1:7" x14ac:dyDescent="0.25">
      <c r="A15" s="1"/>
      <c r="B15" s="33" t="s">
        <v>177</v>
      </c>
      <c r="C15" s="12">
        <f>SUM(C10:C14)</f>
        <v>6688316</v>
      </c>
      <c r="D15" s="13" t="s">
        <v>3</v>
      </c>
      <c r="E15" s="12">
        <f>SUM(E10:E14)</f>
        <v>440291</v>
      </c>
      <c r="F15" s="13" t="s">
        <v>3</v>
      </c>
      <c r="G15" s="1"/>
    </row>
    <row r="16" spans="1:7" x14ac:dyDescent="0.25">
      <c r="A16" s="1"/>
      <c r="B16" s="33" t="s">
        <v>178</v>
      </c>
      <c r="C16" s="12">
        <f>C15*(1+'Fane 15. Nøgletal'!C10)^2</f>
        <v>7604586.4653580403</v>
      </c>
      <c r="D16" s="13" t="s">
        <v>3</v>
      </c>
      <c r="E16" s="12">
        <f>E15*(1+'Fane 15. Nøgletal'!C10)^2</f>
        <v>500608.96934578998</v>
      </c>
      <c r="F16" s="13" t="s">
        <v>3</v>
      </c>
      <c r="G16" s="1"/>
    </row>
    <row r="17" spans="1:7" x14ac:dyDescent="0.25">
      <c r="A17" s="1"/>
      <c r="B17" s="1"/>
      <c r="C17" s="1"/>
      <c r="D17" s="1"/>
      <c r="E17" s="1"/>
      <c r="F17" s="1"/>
      <c r="G17" s="1"/>
    </row>
    <row r="18" spans="1:7" x14ac:dyDescent="0.25">
      <c r="A18" s="1"/>
      <c r="B18" s="127"/>
      <c r="C18" s="127"/>
      <c r="D18" s="127"/>
      <c r="E18" s="127"/>
      <c r="F18" s="127"/>
      <c r="G18" s="1"/>
    </row>
    <row r="19" spans="1:7" x14ac:dyDescent="0.25">
      <c r="A19" s="1"/>
      <c r="B19" s="47"/>
      <c r="C19" s="47"/>
      <c r="D19" s="47"/>
      <c r="E19" s="47"/>
      <c r="F19" s="48"/>
      <c r="G19" s="1"/>
    </row>
    <row r="20" spans="1:7" x14ac:dyDescent="0.25">
      <c r="A20" s="1"/>
      <c r="B20" s="49"/>
      <c r="C20" s="50"/>
      <c r="D20" s="51"/>
      <c r="E20" s="52"/>
      <c r="F20" s="51"/>
      <c r="G20" s="1"/>
    </row>
    <row r="21" spans="1:7" x14ac:dyDescent="0.25">
      <c r="A21" s="1"/>
      <c r="B21" s="49"/>
      <c r="C21" s="50"/>
      <c r="D21" s="51"/>
      <c r="E21" s="52"/>
      <c r="F21" s="51"/>
      <c r="G21" s="1"/>
    </row>
    <row r="22" spans="1:7" x14ac:dyDescent="0.25">
      <c r="A22" s="1"/>
      <c r="B22" s="53"/>
      <c r="C22" s="54"/>
      <c r="D22" s="55"/>
      <c r="E22" s="54"/>
      <c r="F22" s="55"/>
      <c r="G22" s="1"/>
    </row>
    <row r="23" spans="1:7" x14ac:dyDescent="0.25">
      <c r="A23" s="1"/>
      <c r="B23" s="53"/>
      <c r="C23" s="54"/>
      <c r="D23" s="55"/>
      <c r="E23" s="54"/>
      <c r="F23" s="55"/>
      <c r="G23" s="1"/>
    </row>
    <row r="24" spans="1:7" x14ac:dyDescent="0.25">
      <c r="A24" s="1"/>
      <c r="B24" s="46"/>
      <c r="C24" s="46"/>
      <c r="D24" s="46"/>
      <c r="E24" s="46"/>
      <c r="F24" s="46"/>
      <c r="G24" s="1"/>
    </row>
    <row r="25" spans="1:7" x14ac:dyDescent="0.25">
      <c r="A25" s="1"/>
      <c r="B25" s="47"/>
      <c r="C25" s="47"/>
      <c r="D25" s="47"/>
      <c r="E25" s="47"/>
      <c r="F25" s="48"/>
      <c r="G25" s="1"/>
    </row>
    <row r="26" spans="1:7" x14ac:dyDescent="0.25">
      <c r="A26" s="1"/>
      <c r="B26" s="49"/>
      <c r="C26" s="50"/>
      <c r="D26" s="51"/>
      <c r="E26" s="52"/>
      <c r="F26" s="51"/>
      <c r="G26" s="1"/>
    </row>
    <row r="27" spans="1:7" x14ac:dyDescent="0.25">
      <c r="A27" s="1"/>
      <c r="B27" s="49"/>
      <c r="C27" s="50"/>
      <c r="D27" s="51"/>
      <c r="E27" s="52"/>
      <c r="F27" s="51"/>
      <c r="G27" s="1"/>
    </row>
    <row r="28" spans="1:7" x14ac:dyDescent="0.25">
      <c r="A28" s="1"/>
      <c r="B28" s="53"/>
      <c r="C28" s="54"/>
      <c r="D28" s="55"/>
      <c r="E28" s="54"/>
      <c r="F28" s="55"/>
      <c r="G28" s="1"/>
    </row>
    <row r="29" spans="1:7" x14ac:dyDescent="0.25">
      <c r="A29" s="1"/>
      <c r="B29" s="53"/>
      <c r="C29" s="54"/>
      <c r="D29" s="55"/>
      <c r="E29" s="54"/>
      <c r="F29" s="55"/>
      <c r="G29" s="1"/>
    </row>
    <row r="30" spans="1:7" x14ac:dyDescent="0.25">
      <c r="A30" s="1"/>
      <c r="B30" s="46"/>
      <c r="C30" s="46"/>
      <c r="D30" s="46"/>
      <c r="E30" s="46"/>
      <c r="F30" s="46"/>
      <c r="G30" s="1"/>
    </row>
    <row r="31" spans="1:7" x14ac:dyDescent="0.25">
      <c r="A31" s="1"/>
      <c r="B31" s="127"/>
      <c r="C31" s="127"/>
      <c r="D31" s="127"/>
      <c r="E31" s="127"/>
      <c r="F31" s="127"/>
      <c r="G31" s="1"/>
    </row>
    <row r="32" spans="1:7" x14ac:dyDescent="0.25">
      <c r="A32" s="1"/>
      <c r="B32" s="47"/>
      <c r="C32" s="47"/>
      <c r="D32" s="47"/>
      <c r="E32" s="47"/>
      <c r="F32" s="48"/>
      <c r="G32" s="1"/>
    </row>
    <row r="33" spans="1:7" x14ac:dyDescent="0.25">
      <c r="A33" s="1"/>
      <c r="B33" s="49"/>
      <c r="C33" s="50"/>
      <c r="D33" s="51"/>
      <c r="E33" s="52"/>
      <c r="F33" s="51"/>
      <c r="G33" s="1"/>
    </row>
    <row r="34" spans="1:7" x14ac:dyDescent="0.25">
      <c r="A34" s="1"/>
      <c r="B34" s="49"/>
      <c r="C34" s="50"/>
      <c r="D34" s="51"/>
      <c r="E34" s="52"/>
      <c r="F34" s="51"/>
      <c r="G34" s="1"/>
    </row>
    <row r="35" spans="1:7" x14ac:dyDescent="0.25">
      <c r="A35" s="1"/>
      <c r="B35" s="53"/>
      <c r="C35" s="54"/>
      <c r="D35" s="55"/>
      <c r="E35" s="54"/>
      <c r="F35" s="55"/>
      <c r="G35" s="1"/>
    </row>
    <row r="36" spans="1:7" x14ac:dyDescent="0.25">
      <c r="A36" s="1"/>
      <c r="B36" s="53"/>
      <c r="C36" s="54"/>
      <c r="D36" s="55"/>
      <c r="E36" s="54"/>
      <c r="F36" s="55"/>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sheetData>
  <sheetProtection algorithmName="SHA-512" hashValue="o8yOuX1C+6HOum3NIjDTDOVA6OpCp4gNH50t+vtlDGSQ61XKB01KkbYesNjs2Gsh8igRr2LiNP/Opmsh0I9ZDA==" saltValue="xgzVk4vjJYJKB0rQA6yjQA==" spinCount="100000" sheet="1" objects="1" scenarios="1"/>
  <mergeCells count="4">
    <mergeCell ref="B31:F31"/>
    <mergeCell ref="B3:F4"/>
    <mergeCell ref="B8:F8"/>
    <mergeCell ref="B18:F1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f>1982087.54399339*(1+'Fane 15. Nøgletal'!C9)</f>
        <v>2142240.2175480556</v>
      </c>
      <c r="D9" s="14" t="s">
        <v>3</v>
      </c>
      <c r="E9" s="1"/>
    </row>
    <row r="10" spans="1:5" x14ac:dyDescent="0.25">
      <c r="A10" s="1"/>
      <c r="B10" s="64" t="s">
        <v>10</v>
      </c>
      <c r="C10" s="9">
        <f>-C9*'Fane 5. Individuelt eff. krav'!C9</f>
        <v>-6361.8887938683629</v>
      </c>
      <c r="D10" s="14" t="s">
        <v>3</v>
      </c>
      <c r="E10" s="1"/>
    </row>
    <row r="11" spans="1:5" x14ac:dyDescent="0.25">
      <c r="A11" s="1"/>
      <c r="B11" s="64" t="s">
        <v>22</v>
      </c>
      <c r="C11" s="9">
        <f>-C9*'Fane 15. Nøgletal'!C21</f>
        <v>-42844.804350961109</v>
      </c>
      <c r="D11" s="14" t="s">
        <v>3</v>
      </c>
      <c r="E11" s="1"/>
    </row>
    <row r="12" spans="1:5" x14ac:dyDescent="0.25">
      <c r="A12" s="1"/>
      <c r="B12" s="76" t="s">
        <v>74</v>
      </c>
      <c r="C12" s="12">
        <f>SUM(C9:C11)*(1+'Fane 15. Nøgletal'!C9)^2</f>
        <v>2444932.4043355472</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2052649.8605595496</v>
      </c>
      <c r="D15" s="14" t="s">
        <v>3</v>
      </c>
      <c r="E15" s="1"/>
    </row>
    <row r="16" spans="1:5" x14ac:dyDescent="0.25">
      <c r="A16" s="1"/>
      <c r="B16" s="64" t="s">
        <v>10</v>
      </c>
      <c r="C16" s="9">
        <f>-C15*'Fane 5. Individuelt eff. krav'!C9</f>
        <v>-6095.8290478627505</v>
      </c>
      <c r="D16" s="14" t="s">
        <v>3</v>
      </c>
      <c r="E16" s="1"/>
    </row>
    <row r="17" spans="1:5" x14ac:dyDescent="0.25">
      <c r="A17" s="1"/>
      <c r="B17" s="64" t="s">
        <v>22</v>
      </c>
      <c r="C17" s="9">
        <f>-C15*'Fane 15. Nøgletal'!C21</f>
        <v>-41052.997211190996</v>
      </c>
      <c r="D17" s="14" t="s">
        <v>3</v>
      </c>
      <c r="E17" s="1"/>
    </row>
    <row r="18" spans="1:5" x14ac:dyDescent="0.25">
      <c r="A18" s="1"/>
      <c r="B18" s="76" t="s">
        <v>85</v>
      </c>
      <c r="C18" s="12">
        <f>SUM(C15:C17)*(1+'Fane 15. Nøgletal'!C10)^3</f>
        <v>2431426.3442310467</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2052649.8605595496</v>
      </c>
      <c r="D21" s="14" t="s">
        <v>3</v>
      </c>
      <c r="E21" s="1"/>
    </row>
    <row r="22" spans="1:5" x14ac:dyDescent="0.25">
      <c r="A22" s="1"/>
      <c r="B22" s="64" t="s">
        <v>10</v>
      </c>
      <c r="C22" s="9">
        <f>-C21*'Fane 5. Individuelt eff. krav'!C9</f>
        <v>-6095.8290478627505</v>
      </c>
      <c r="D22" s="14" t="s">
        <v>3</v>
      </c>
      <c r="E22" s="1"/>
    </row>
    <row r="23" spans="1:5" x14ac:dyDescent="0.25">
      <c r="A23" s="1"/>
      <c r="B23" s="64" t="s">
        <v>22</v>
      </c>
      <c r="C23" s="9">
        <f>-C21*'Fane 15. Nøgletal'!C21</f>
        <v>-41052.997211190996</v>
      </c>
      <c r="D23" s="14" t="s">
        <v>3</v>
      </c>
      <c r="E23" s="1"/>
    </row>
    <row r="24" spans="1:5" x14ac:dyDescent="0.25">
      <c r="A24" s="1"/>
      <c r="B24" s="76" t="s">
        <v>141</v>
      </c>
      <c r="C24" s="12">
        <f>SUM(C21:C23)*(1+'Fane 15. Nøgletal'!C10)^4</f>
        <v>2592629.9108535647</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2052649.8605595496</v>
      </c>
      <c r="D27" s="14" t="s">
        <v>3</v>
      </c>
      <c r="E27" s="1"/>
    </row>
    <row r="28" spans="1:5" x14ac:dyDescent="0.25">
      <c r="A28" s="1"/>
      <c r="B28" s="64" t="s">
        <v>10</v>
      </c>
      <c r="C28" s="9">
        <f>-C27*'Fane 5. Individuelt eff. krav'!C9</f>
        <v>-6095.8290478627505</v>
      </c>
      <c r="D28" s="14" t="s">
        <v>3</v>
      </c>
      <c r="E28" s="1"/>
    </row>
    <row r="29" spans="1:5" x14ac:dyDescent="0.25">
      <c r="A29" s="1"/>
      <c r="B29" s="64" t="s">
        <v>22</v>
      </c>
      <c r="C29" s="9">
        <f>-C27*'Fane 15. Nøgletal'!C21</f>
        <v>-41052.997211190996</v>
      </c>
      <c r="D29" s="14" t="s">
        <v>3</v>
      </c>
      <c r="E29" s="1"/>
    </row>
    <row r="30" spans="1:5" x14ac:dyDescent="0.25">
      <c r="A30" s="1"/>
      <c r="B30" s="76" t="s">
        <v>181</v>
      </c>
      <c r="C30" s="12">
        <f>SUM(C27:C29)*(1+'Fane 15. Nøgletal'!C10)^5</f>
        <v>2764521.2739431565</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OE8Z5+GmIxGf3SF3ThIzmnPX/AxaJX9cOYwOcv97S/rOobLVKR3DngQBe1qrpK7id/TFJqBkw0MvkXbpcd7vLg==" saltValue="Q9jWpJo3/GWWQhcx8bqf0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TakNUQgiBFu0b3tLLxSrvevWyYs1Bfjly5cTveSGlUGBugw43OtCBIaXZD+ELpEYmCqf81VbvC9CNxNnyCBoGA==" saltValue="KSDJiFOUjUTxGVWC3H5POA=="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fGHzsNwyUeS7yiutLf5WBNLmf9DcSyGIH2ODK2OC1Qax8FLWZ8z8FqCCx7AnGpVSxZP/bjVJgWVKE5epCM2eA==" saltValue="1wwTPNKt3qsyeabqrCUh8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130237889.77319671</v>
      </c>
      <c r="D9" s="8" t="s">
        <v>3</v>
      </c>
      <c r="E9" s="1"/>
    </row>
    <row r="10" spans="1:5" ht="17.25" customHeight="1" x14ac:dyDescent="0.25">
      <c r="A10" s="1"/>
      <c r="B10" s="64" t="s">
        <v>35</v>
      </c>
      <c r="C10" s="7">
        <f>'Fane 11.1. Varige tillæg'!C20</f>
        <v>1346353.0320000001</v>
      </c>
      <c r="D10" s="8" t="s">
        <v>3</v>
      </c>
      <c r="E10" s="1"/>
    </row>
    <row r="11" spans="1:5" ht="17.25" customHeight="1" x14ac:dyDescent="0.25">
      <c r="A11" s="1"/>
      <c r="B11" s="64" t="s">
        <v>36</v>
      </c>
      <c r="C11" s="9">
        <f>'Fane 11.1. Varige tillæg'!E20</f>
        <v>3882787.4994999999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10869913.510912742</v>
      </c>
      <c r="D16" s="8" t="s">
        <v>3</v>
      </c>
      <c r="E16" s="1"/>
    </row>
    <row r="17" spans="1:5" ht="17.25" customHeight="1" x14ac:dyDescent="0.25">
      <c r="A17" s="1"/>
      <c r="B17" s="64" t="s">
        <v>10</v>
      </c>
      <c r="C17" s="38">
        <f>-SUM(C9,C10:C16)*'Fane 5. Individuelt eff. krav'!C9</f>
        <v>-434582.15160157962</v>
      </c>
      <c r="D17" s="8" t="s">
        <v>3</v>
      </c>
      <c r="E17" s="1"/>
    </row>
    <row r="18" spans="1:5" ht="17.25" customHeight="1" x14ac:dyDescent="0.25">
      <c r="A18" s="1"/>
      <c r="B18" s="64" t="s">
        <v>22</v>
      </c>
      <c r="C18" s="38">
        <f>-'Fane 4.1. Gen. krav - drift'!C17</f>
        <v>-1179525.1486451966</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144722836.51536268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4999259.7603480704</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2444932.4043355472</v>
      </c>
      <c r="D24" s="11" t="s">
        <v>3</v>
      </c>
      <c r="E24" s="1"/>
    </row>
    <row r="25" spans="1:5" ht="15" customHeight="1" x14ac:dyDescent="0.25">
      <c r="A25" s="1"/>
      <c r="B25" s="41" t="s">
        <v>41</v>
      </c>
      <c r="C25" s="39"/>
      <c r="D25" s="40"/>
      <c r="E25" s="1"/>
    </row>
    <row r="26" spans="1:5" ht="15" customHeight="1" x14ac:dyDescent="0.25">
      <c r="A26" s="1"/>
      <c r="B26" s="64" t="s">
        <v>89</v>
      </c>
      <c r="C26" s="38">
        <f>'Fane 11.2. Engangstillæg'!C16</f>
        <v>7604586.4653580403</v>
      </c>
      <c r="D26" s="8" t="s">
        <v>3</v>
      </c>
      <c r="E26" s="1"/>
    </row>
    <row r="27" spans="1:5" ht="15" customHeight="1" x14ac:dyDescent="0.25">
      <c r="A27" s="1"/>
      <c r="B27" s="64" t="s">
        <v>38</v>
      </c>
      <c r="C27" s="38">
        <f>'Fane 11.2. Engangstillæg'!E16</f>
        <v>500608.96934578998</v>
      </c>
      <c r="D27" s="8" t="s">
        <v>3</v>
      </c>
      <c r="E27" s="1"/>
    </row>
    <row r="28" spans="1:5" ht="15" customHeight="1" x14ac:dyDescent="0.25">
      <c r="A28" s="1"/>
      <c r="B28" s="64" t="s">
        <v>92</v>
      </c>
      <c r="C28" s="38">
        <f>-C26*('Fane 15. Nøgletal'!C21+'Fane 5. Individuelt eff. krav'!C9)</f>
        <v>-174675.34669034023</v>
      </c>
      <c r="D28" s="8" t="s">
        <v>3</v>
      </c>
      <c r="E28" s="1"/>
    </row>
    <row r="29" spans="1:5" ht="15" customHeight="1" x14ac:dyDescent="0.25">
      <c r="A29" s="1"/>
      <c r="B29" s="64" t="s">
        <v>93</v>
      </c>
      <c r="C29" s="38">
        <f>-C27*('Fane 15. Nøgletal'!C16+'Fane 5. Individuelt eff. krav'!C9)</f>
        <v>-1486.6766883109965</v>
      </c>
      <c r="D29" s="8" t="s">
        <v>3</v>
      </c>
      <c r="E29" s="1"/>
    </row>
    <row r="30" spans="1:5" ht="15" customHeight="1" x14ac:dyDescent="0.25">
      <c r="A30" s="1"/>
      <c r="B30" s="67" t="s">
        <v>43</v>
      </c>
      <c r="C30" s="10">
        <f>SUM(C26:C29)</f>
        <v>7929033.41132518</v>
      </c>
      <c r="D30" s="11" t="s">
        <v>3</v>
      </c>
      <c r="E30" s="1"/>
    </row>
    <row r="31" spans="1:5" x14ac:dyDescent="0.25">
      <c r="A31" s="1"/>
      <c r="B31" s="33" t="s">
        <v>69</v>
      </c>
      <c r="C31" s="28"/>
      <c r="D31" s="19"/>
      <c r="E31" s="1"/>
    </row>
    <row r="32" spans="1:5" x14ac:dyDescent="0.25">
      <c r="A32" s="1"/>
      <c r="B32" s="31" t="s">
        <v>79</v>
      </c>
      <c r="C32" s="62">
        <f>'Fane 7. Kontrol af ØR2023'!C27</f>
        <v>2382316.1517562419</v>
      </c>
      <c r="D32" s="11" t="s">
        <v>3</v>
      </c>
      <c r="E32" s="1"/>
    </row>
    <row r="33" spans="1:5" ht="15" customHeight="1" x14ac:dyDescent="0.25">
      <c r="A33" s="1"/>
      <c r="B33" s="33" t="s">
        <v>154</v>
      </c>
      <c r="C33" s="28"/>
      <c r="D33" s="19"/>
      <c r="E33" s="1"/>
    </row>
    <row r="34" spans="1:5" x14ac:dyDescent="0.25">
      <c r="A34" s="1"/>
      <c r="B34" s="31" t="s">
        <v>154</v>
      </c>
      <c r="C34" s="10">
        <f>'Fane 9. Korrektion af ØR2023'!C16</f>
        <v>-3542863.5247442601</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158935514.71838346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d7xtFCfCTJvEiVNYi/B4dQufz0ajZQt4XQAmgu21py77GRhPhDZSczCEDIUFBr5nmaU+RdN4acjooApUztzJIA==" saltValue="eUFFyx6jIYDsDLT6S2vrx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IauH6ZZRhRVV2uE8JfNzvWajaaTqhb5xjaU0iwhUyTNBEraTCZeiZ7SNLmK9NptW2eKwU/YiAPGjwZg/sUGaHA==" saltValue="PjQ8kMZm2KCVz7Jzl2vCV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144722836.51536268</v>
      </c>
      <c r="D9" s="8" t="s">
        <v>3</v>
      </c>
      <c r="E9" s="1"/>
    </row>
    <row r="10" spans="1:5" ht="15" customHeight="1" x14ac:dyDescent="0.25">
      <c r="A10" s="1"/>
      <c r="B10" s="26" t="s">
        <v>19</v>
      </c>
      <c r="C10" s="7">
        <f>C9*'Fane 15. Nøgletal'!C10</f>
        <v>9595124.0609685462</v>
      </c>
      <c r="D10" s="8" t="s">
        <v>3</v>
      </c>
      <c r="E10" s="1"/>
    </row>
    <row r="11" spans="1:5" ht="15" customHeight="1" x14ac:dyDescent="0.25">
      <c r="A11" s="1"/>
      <c r="B11" s="26" t="s">
        <v>10</v>
      </c>
      <c r="C11" s="9">
        <f>-SUM(C9:C10)*'Fane 5. Individuelt eff. krav'!C9</f>
        <v>-458283.66774239141</v>
      </c>
      <c r="D11" s="8" t="s">
        <v>3</v>
      </c>
      <c r="E11" s="1"/>
    </row>
    <row r="12" spans="1:5" ht="15" customHeight="1" x14ac:dyDescent="0.25">
      <c r="A12" s="1"/>
      <c r="B12" s="26" t="s">
        <v>22</v>
      </c>
      <c r="C12" s="9">
        <f>-'Fane 4.1. Gen. krav - drift'!C22</f>
        <v>-1232573.1126803658</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152627103.79590845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5330710.6824591476</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2431426.3442310467</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160389240.82259864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MUkkqT2+C2+goiR94sqvzu1bSbY8cQtxJd++DqI2T6Nrtzhvn4MhB7uV42ou7PN7MEJbUmOn714Qq0xkLAdQ==" saltValue="4PHKeyIgMPZ/ivfjg9Req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152627103.79590845</v>
      </c>
      <c r="D9" s="8" t="s">
        <v>3</v>
      </c>
      <c r="E9" s="1"/>
    </row>
    <row r="10" spans="1:5" ht="15" customHeight="1" x14ac:dyDescent="0.25">
      <c r="A10" s="1"/>
      <c r="B10" s="26" t="s">
        <v>19</v>
      </c>
      <c r="C10" s="7">
        <f>SUM(C9:C9)*'Fane 15. Nøgletal'!C10</f>
        <v>10119176.981668729</v>
      </c>
      <c r="D10" s="8" t="s">
        <v>3</v>
      </c>
      <c r="E10" s="1"/>
    </row>
    <row r="11" spans="1:5" ht="15" customHeight="1" x14ac:dyDescent="0.25">
      <c r="A11" s="1"/>
      <c r="B11" s="26" t="s">
        <v>10</v>
      </c>
      <c r="C11" s="9">
        <f>-SUM(C9:C10)*'Fane 5. Individuelt eff. krav'!C9</f>
        <v>-483313.55720119958</v>
      </c>
      <c r="D11" s="8" t="s">
        <v>3</v>
      </c>
      <c r="E11" s="1"/>
    </row>
    <row r="12" spans="1:5" ht="15" customHeight="1" x14ac:dyDescent="0.25">
      <c r="A12" s="1"/>
      <c r="B12" s="26" t="s">
        <v>22</v>
      </c>
      <c r="C12" s="9">
        <f>-'Fane 4.1. Gen. krav - drift'!C27</f>
        <v>-1288006.8558500526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160974960.36452594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5684136.8007061891</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2592629.9108535647</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169251727.07608569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63LzFDtjpx9PLsAEYMUdqy7Yj90dphFV+wBtkmdLVrRLxSgbiggaM8NIRdkYOplYAFdRYB2XprN8vB8veivCIg==" saltValue="mO5Wk81JH6kl39ORozI0f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160974960.36452594</v>
      </c>
      <c r="D9" s="8" t="s">
        <v>3</v>
      </c>
      <c r="E9" s="1"/>
    </row>
    <row r="10" spans="1:5" ht="15" customHeight="1" x14ac:dyDescent="0.25">
      <c r="A10" s="1"/>
      <c r="B10" s="26" t="s">
        <v>19</v>
      </c>
      <c r="C10" s="7">
        <f>SUM(C9:C9)*'Fane 15. Nøgletal'!C10</f>
        <v>10672639.87216807</v>
      </c>
      <c r="D10" s="8" t="s">
        <v>3</v>
      </c>
      <c r="E10" s="1"/>
    </row>
    <row r="11" spans="1:5" ht="15" customHeight="1" x14ac:dyDescent="0.25">
      <c r="A11" s="1"/>
      <c r="B11" s="26" t="s">
        <v>10</v>
      </c>
      <c r="C11" s="9">
        <f>-SUM(C9:C10)*'Fane 5. Individuelt eff. krav'!C9</f>
        <v>-509748.12978261337</v>
      </c>
      <c r="D11" s="8" t="s">
        <v>3</v>
      </c>
      <c r="E11" s="1"/>
    </row>
    <row r="12" spans="1:5" ht="15" customHeight="1" x14ac:dyDescent="0.25">
      <c r="A12" s="1"/>
      <c r="B12" s="26" t="s">
        <v>22</v>
      </c>
      <c r="C12" s="9">
        <f>-'Fane 4.1. Gen. krav - drift'!C32</f>
        <v>-1345933.6761850526</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169791918.43072635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6060995.0705930097</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2764521.2739431565</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178617434.7752625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XjZAx5KIFUAPLLflU7NUP0NAzdn9IcmMj5JJG35jdE1/s/o4Jki68o/a2S+tbPmCwAwe9MrJpipAVgy4C7Lw==" saltValue="EcHhYIKMNqy2+vRuNEvKF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121669480.63220353</v>
      </c>
      <c r="D9" s="8" t="s">
        <v>3</v>
      </c>
      <c r="E9" s="1"/>
    </row>
    <row r="10" spans="1:5" ht="15" customHeight="1" x14ac:dyDescent="0.25">
      <c r="A10" s="1"/>
      <c r="B10" s="64" t="s">
        <v>35</v>
      </c>
      <c r="C10" s="7">
        <v>44175.538399999998</v>
      </c>
      <c r="D10" s="8" t="s">
        <v>3</v>
      </c>
      <c r="E10" s="1"/>
    </row>
    <row r="11" spans="1:5" ht="15" customHeight="1" x14ac:dyDescent="0.25">
      <c r="A11" s="1"/>
      <c r="B11" s="64" t="s">
        <v>36</v>
      </c>
      <c r="C11" s="9">
        <v>154921.872</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9846981.1058423668</v>
      </c>
      <c r="D16" s="8" t="s">
        <v>3</v>
      </c>
      <c r="E16" s="1"/>
    </row>
    <row r="17" spans="1:5" ht="15" customHeight="1" x14ac:dyDescent="0.25">
      <c r="A17" s="1"/>
      <c r="B17" s="64" t="s">
        <v>10</v>
      </c>
      <c r="C17" s="38">
        <v>-391160.49304858403</v>
      </c>
      <c r="D17" s="8" t="s">
        <v>3</v>
      </c>
      <c r="E17" s="1"/>
    </row>
    <row r="18" spans="1:5" ht="15" customHeight="1" x14ac:dyDescent="0.25">
      <c r="A18" s="1"/>
      <c r="B18" s="64" t="s">
        <v>22</v>
      </c>
      <c r="C18" s="38">
        <v>-1086508.8822006041</v>
      </c>
      <c r="D18" s="8" t="s">
        <v>3</v>
      </c>
      <c r="E18" s="1"/>
    </row>
    <row r="19" spans="1:5" ht="15" customHeight="1" x14ac:dyDescent="0.25">
      <c r="A19" s="1"/>
      <c r="B19" s="64" t="s">
        <v>23</v>
      </c>
      <c r="C19" s="38">
        <v>0</v>
      </c>
      <c r="D19" s="8" t="s">
        <v>3</v>
      </c>
      <c r="E19" s="43"/>
    </row>
    <row r="20" spans="1:5" ht="15" customHeight="1" x14ac:dyDescent="0.25">
      <c r="A20" s="1"/>
      <c r="B20" s="82" t="s">
        <v>21</v>
      </c>
      <c r="C20" s="10">
        <v>130237889.77319671</v>
      </c>
      <c r="D20" s="11" t="s">
        <v>3</v>
      </c>
      <c r="E20" s="1"/>
    </row>
    <row r="21" spans="1:5" ht="15" customHeight="1" x14ac:dyDescent="0.25">
      <c r="A21" s="1"/>
      <c r="B21" s="33" t="s">
        <v>12</v>
      </c>
      <c r="C21" s="28"/>
      <c r="D21" s="19"/>
      <c r="E21" s="1"/>
    </row>
    <row r="22" spans="1:5" ht="15" customHeight="1" x14ac:dyDescent="0.25">
      <c r="A22" s="1"/>
      <c r="B22" s="31" t="s">
        <v>12</v>
      </c>
      <c r="C22" s="10">
        <v>4322282.2482950399</v>
      </c>
      <c r="D22" s="11" t="s">
        <v>3</v>
      </c>
      <c r="E22" s="1"/>
    </row>
    <row r="23" spans="1:5" ht="15" customHeight="1" x14ac:dyDescent="0.25">
      <c r="A23" s="1"/>
      <c r="B23" s="33" t="s">
        <v>42</v>
      </c>
      <c r="C23" s="28"/>
      <c r="D23" s="19"/>
      <c r="E23" s="1"/>
    </row>
    <row r="24" spans="1:5" ht="15" customHeight="1" x14ac:dyDescent="0.25">
      <c r="A24" s="1"/>
      <c r="B24" s="82" t="s">
        <v>42</v>
      </c>
      <c r="C24" s="10">
        <v>2262150.6331750015</v>
      </c>
      <c r="D24" s="11" t="s">
        <v>3</v>
      </c>
      <c r="E24" s="1"/>
    </row>
    <row r="25" spans="1:5" x14ac:dyDescent="0.25">
      <c r="A25" s="1"/>
      <c r="B25" s="41" t="s">
        <v>41</v>
      </c>
      <c r="C25" s="39"/>
      <c r="D25" s="40"/>
      <c r="E25" s="1"/>
    </row>
    <row r="26" spans="1:5" ht="15" customHeight="1" x14ac:dyDescent="0.25">
      <c r="A26" s="1"/>
      <c r="B26" s="64" t="s">
        <v>89</v>
      </c>
      <c r="C26" s="71">
        <v>0</v>
      </c>
      <c r="D26" s="8" t="s">
        <v>3</v>
      </c>
      <c r="E26" s="1"/>
    </row>
    <row r="27" spans="1:5" ht="15" customHeight="1" x14ac:dyDescent="0.25">
      <c r="A27" s="1"/>
      <c r="B27" s="64" t="s">
        <v>38</v>
      </c>
      <c r="C27" s="71">
        <v>0</v>
      </c>
      <c r="D27" s="8" t="s">
        <v>3</v>
      </c>
      <c r="E27" s="1"/>
    </row>
    <row r="28" spans="1:5" ht="15" customHeight="1" x14ac:dyDescent="0.25">
      <c r="A28" s="1"/>
      <c r="B28" s="64" t="s">
        <v>92</v>
      </c>
      <c r="C28" s="71">
        <v>0</v>
      </c>
      <c r="D28" s="8" t="s">
        <v>3</v>
      </c>
      <c r="E28" s="1"/>
    </row>
    <row r="29" spans="1:5" ht="15" customHeight="1" x14ac:dyDescent="0.25">
      <c r="A29" s="1"/>
      <c r="B29" s="64" t="s">
        <v>93</v>
      </c>
      <c r="C29" s="71">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-2382316</v>
      </c>
      <c r="D32" s="11" t="s">
        <v>3</v>
      </c>
      <c r="E32" s="1"/>
    </row>
    <row r="33" spans="1:5" x14ac:dyDescent="0.25">
      <c r="A33" s="1"/>
      <c r="B33" s="33" t="s">
        <v>128</v>
      </c>
      <c r="C33" s="28"/>
      <c r="D33" s="19"/>
      <c r="E33" s="1"/>
    </row>
    <row r="34" spans="1:5" ht="15.4" customHeight="1" x14ac:dyDescent="0.25">
      <c r="A34" s="1"/>
      <c r="B34" s="31" t="s">
        <v>128</v>
      </c>
      <c r="C34" s="10">
        <v>-3609495.1290855831</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130830511.52558117</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ckHR8py6QQze5++G6Rh3X6pQwwhHbEWEHe1zKucMy0LYUu9Fri7kuViF0K5jk/Mjmc6JXmr+t1PxGytUm3LBOg==" saltValue="wefwAfOkQcskzKttb2EqGw=="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54277699.188127488</v>
      </c>
      <c r="D9" s="14" t="s">
        <v>3</v>
      </c>
      <c r="E9" s="1"/>
    </row>
    <row r="10" spans="1:5" x14ac:dyDescent="0.25">
      <c r="A10" s="1"/>
      <c r="B10" s="65" t="s">
        <v>125</v>
      </c>
      <c r="C10" s="23">
        <f>('Fane 3. Omkostninger i ØR2024'!C10+'Fane 3. Omkostninger i ØR2024'!C12+'Fane 3. Omkostninger i ØR2024'!C14)*(1+'Fane 15. Nøgletal'!C9)</f>
        <v>47744.921902719994</v>
      </c>
      <c r="D10" s="14" t="s">
        <v>3</v>
      </c>
      <c r="E10" s="1"/>
    </row>
    <row r="11" spans="1:5" x14ac:dyDescent="0.25">
      <c r="A11" s="1"/>
      <c r="B11" s="65" t="s">
        <v>131</v>
      </c>
      <c r="C11" s="23">
        <f>C9*'Fane 15. Nøgletal'!C21+C10*'Fane 15. Nøgletal'!C21</f>
        <v>1086508.8822006041</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57540641.194238238</v>
      </c>
      <c r="D15" s="14" t="s">
        <v>3</v>
      </c>
      <c r="E15" s="1"/>
    </row>
    <row r="16" spans="1:5" x14ac:dyDescent="0.25">
      <c r="A16" s="1"/>
      <c r="B16" s="65" t="s">
        <v>184</v>
      </c>
      <c r="C16" s="23">
        <f>('Fane 2.1. Økonomisk ramme 2025'!C10+'Fane 2.1. Økonomisk ramme 2025'!C12+'Fane 2.1. Økonomisk ramme 2025'!C14)*(1+'Fane 15. Nøgletal'!C10)</f>
        <v>1435616.2380216001</v>
      </c>
      <c r="D16" s="14" t="s">
        <v>3</v>
      </c>
      <c r="E16" s="1"/>
    </row>
    <row r="17" spans="1:5" x14ac:dyDescent="0.25">
      <c r="A17" s="1"/>
      <c r="B17" s="65" t="s">
        <v>132</v>
      </c>
      <c r="C17" s="23">
        <f>C15*'Fane 15. Nøgletal'!C21+C16*'Fane 15. Nøgletal'!C21</f>
        <v>1179525.1486451966</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61628655.634018287</v>
      </c>
      <c r="D21" s="14" t="s">
        <v>3</v>
      </c>
      <c r="E21" s="1"/>
    </row>
    <row r="22" spans="1:5" x14ac:dyDescent="0.25">
      <c r="A22" s="1"/>
      <c r="B22" s="65" t="s">
        <v>196</v>
      </c>
      <c r="C22" s="23">
        <f>C21*'Fane 15. Nøgletal'!C21</f>
        <v>1232573.1126803658</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64400342.792502627</v>
      </c>
      <c r="D26" s="14" t="s">
        <v>3</v>
      </c>
      <c r="E26" s="1"/>
    </row>
    <row r="27" spans="1:5" x14ac:dyDescent="0.25">
      <c r="A27" s="1"/>
      <c r="B27" s="65" t="s">
        <v>194</v>
      </c>
      <c r="C27" s="23">
        <f>C26*'Fane 15. Nøgletal'!C21</f>
        <v>1288006.8558500526</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67296683.809252635</v>
      </c>
      <c r="D31" s="14" t="s">
        <v>3</v>
      </c>
      <c r="E31" s="1"/>
    </row>
    <row r="32" spans="1:5" x14ac:dyDescent="0.25">
      <c r="A32" s="1"/>
      <c r="B32" s="65" t="s">
        <v>195</v>
      </c>
      <c r="C32" s="23">
        <f>C31*'Fane 15. Nøgletal'!C21</f>
        <v>1345933.6761850526</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vBVIHKPKd58XPRWstYBi5UwuuQWvGHIMiEceqMJihBL9clMbSvl6VIm0Q/VJBThN9ipjuc0sgOzlCjpcnuuenQ==" saltValue="VRxssOivwdfanNkWyLXr1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84651299.648701668</v>
      </c>
      <c r="D9" s="14" t="s">
        <v>3</v>
      </c>
      <c r="E9" s="1"/>
    </row>
    <row r="10" spans="1:5" x14ac:dyDescent="0.25">
      <c r="A10" s="1"/>
      <c r="B10" s="65" t="s">
        <v>126</v>
      </c>
      <c r="C10" s="23">
        <f>('Fane 3. Omkostninger i ØR2024'!C11+'Fane 3. Omkostninger i ØR2024'!C13+'Fane 3. Omkostninger i ØR2024'!C15)*(1+'Fane 15. Nøgletal'!C9)</f>
        <v>167439.55925759999</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91672093.33596237</v>
      </c>
      <c r="D15" s="14" t="s">
        <v>3</v>
      </c>
      <c r="E15" s="1"/>
    </row>
    <row r="16" spans="1:5" x14ac:dyDescent="0.25">
      <c r="A16" s="1"/>
      <c r="B16" s="65" t="s">
        <v>185</v>
      </c>
      <c r="C16" s="23">
        <f>('Fane 2.1. Økonomisk ramme 2025'!C11+'Fane 2.1. Økonomisk ramme 2025'!C13+'Fane 2.1. Økonomisk ramme 2025'!C15)*(1+'Fane 15. Nøgletal'!C10)</f>
        <v>4140216.3107168502</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102164665.77625406</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108938183.1172197</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116160784.65789138</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y994yZBZbt+JGD4Worv6LBx5g2FDk/GSkEFQqOCiz/jZJzO7MRYi6i0tljhMZYfGXA0uLPsNYraPDGV321ajrQ==" saltValue="GIK08YXLQvVmw2NOfauOX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2.9697364197326065E-3</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jLE2tp5Qg/klTao+jSNJw6Vfcgv3d+OHBHXqzb/tPNeWJdpnZqLW4BHSvqgKme69s47o77LJ7X5GRBsYQBELzQ==" saltValue="jZRZHNjZb0nZ0l4tq520O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2024-10-09T07:33:31Z</dcterms:modified>
</cp:coreProperties>
</file>