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Denne_projektmappe" defaultThemeVersion="124226"/>
  <mc:AlternateContent xmlns:mc="http://schemas.openxmlformats.org/markup-compatibility/2006">
    <mc:Choice Requires="x15">
      <x15ac:absPath xmlns:x15ac="http://schemas.microsoft.com/office/spreadsheetml/2010/11/ac" url="E:\VAND\Sagsbehandling\Spildevand\FORS Spildevand Roskilde AS (S080)\ØR2025\"/>
    </mc:Choice>
  </mc:AlternateContent>
  <xr:revisionPtr revIDLastSave="0" documentId="13_ncr:1_{1CF02FD4-B1BA-4102-ABF5-B9AF2A37819C}"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22"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3" r:id="rId11"/>
    <sheet name="Fane 8. Skattesagen" sheetId="41" r:id="rId12"/>
    <sheet name="Fane 9. Korrektion af ØR2023"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Fane21">'Fane 2.1. Økonomisk ramme 2025'!$B$8:$D$37</definedName>
    <definedName name="Fane21total">'Fane 2.1. Økonomisk ramme 2025'!$C$37</definedName>
    <definedName name="Fane22">'Fane 2.2. Økonomisk ramme 2026'!$B$8:$D$23</definedName>
    <definedName name="Fane22total">'Fane 2.2. Økonomisk ramme 2026'!$C$23</definedName>
    <definedName name="Fane23">'Fane 2.3. Økonomisk ramme 2027'!$B$8:$D$23</definedName>
    <definedName name="Fane23total">'Fane 2.3. Økonomisk ramme 2027'!$C$23</definedName>
    <definedName name="Fane24">'Fane 2.4. Økonomisk ramme 2028'!$B$8:$D$21</definedName>
    <definedName name="Fane24total">'Fane 2.4. Økonomisk ramme 2028'!$C$21</definedName>
    <definedName name="Fane3total">'Fane 3. Omkostninger i ØR2024'!$C$39</definedName>
    <definedName name="Tabel_Fane_13">'Fane 13. Tilknyttet virksomhed'!$B$8:$F$12</definedName>
    <definedName name="Tabel_Fane_14">'Fane 14. Bortfald'!$B$8:$F$12</definedName>
    <definedName name="Tabel_Fane_2_1">'Fane 2.1. Økonomisk ramme 2025'!$B$8:$D$37</definedName>
    <definedName name="Tabel_Fane_2_2">'Fane 2.2. Økonomisk ramme 2026'!$B$8:$D$23</definedName>
    <definedName name="Tabel_Fane_2_3">'Fane 2.3. Økonomisk ramme 2027'!$B$8:$D$23</definedName>
    <definedName name="Tabel_Fane_2_4">'Fane 2.4. Økonomisk ramme 2028'!$B$8:$D$21</definedName>
    <definedName name="Tabel_Fane_3">'Fane 3. Omkostninger i ØR2024'!$B$8:$D$38</definedName>
    <definedName name="ØR25total">'Fane 2.1. Økonomisk ramme 2025'!$C$37</definedName>
    <definedName name="ØR26total">'Fane 2.2. Økonomisk ramme 2026'!$C$23</definedName>
    <definedName name="ØR27total">'Fane 2.3. Økonomisk ramme 2027'!$C$23</definedName>
  </definedNames>
  <calcPr calcId="191029"/>
</workbook>
</file>

<file path=xl/calcChain.xml><?xml version="1.0" encoding="utf-8"?>
<calcChain xmlns="http://schemas.openxmlformats.org/spreadsheetml/2006/main">
  <c r="E15" i="39" l="1"/>
  <c r="C15" i="39" l="1"/>
  <c r="C9" i="20" l="1"/>
  <c r="C23" i="43" l="1"/>
  <c r="C27" i="43" s="1"/>
  <c r="C32" i="2" s="1"/>
  <c r="F10" i="11" l="1"/>
  <c r="C11" i="29"/>
  <c r="C10" i="36" l="1"/>
  <c r="C10" i="30"/>
  <c r="C20" i="23" l="1"/>
  <c r="C22" i="22"/>
  <c r="C22" i="15"/>
  <c r="C36" i="2"/>
  <c r="C11" i="30" l="1"/>
  <c r="C15" i="30" s="1"/>
  <c r="C29" i="20" l="1"/>
  <c r="C28" i="20"/>
  <c r="C23" i="20"/>
  <c r="C22" i="20"/>
  <c r="C24" i="20" l="1"/>
  <c r="C30" i="20"/>
  <c r="C18" i="41"/>
  <c r="C16" i="20" l="1"/>
  <c r="C10" i="20"/>
  <c r="C31" i="43" l="1"/>
  <c r="C33" i="43" l="1"/>
  <c r="C20" i="22" l="1"/>
  <c r="C20" i="15"/>
  <c r="C12" i="29" l="1"/>
  <c r="E11" i="29"/>
  <c r="E12" i="29" s="1"/>
  <c r="E16" i="39"/>
  <c r="C16" i="39"/>
  <c r="J11" i="11"/>
  <c r="H11" i="11"/>
  <c r="C10" i="37" s="1"/>
  <c r="C20" i="19"/>
  <c r="C21" i="19" s="1"/>
  <c r="C16" i="23" l="1"/>
  <c r="C16" i="15"/>
  <c r="C16" i="22"/>
  <c r="F11" i="11"/>
  <c r="E10" i="37" s="1"/>
  <c r="C11" i="21" l="1"/>
  <c r="C12" i="21" s="1"/>
  <c r="C12" i="2" l="1"/>
  <c r="C15" i="2"/>
  <c r="C14" i="2"/>
  <c r="C26" i="2" l="1"/>
  <c r="C28" i="2" s="1"/>
  <c r="C27" i="2" l="1"/>
  <c r="C29" i="2" s="1"/>
  <c r="C30" i="2" l="1"/>
  <c r="C18" i="22" l="1"/>
  <c r="C22" i="2"/>
  <c r="C18" i="23" l="1"/>
  <c r="C15" i="40"/>
  <c r="C11" i="40" l="1"/>
  <c r="C17" i="20" l="1"/>
  <c r="C18" i="20" s="1"/>
  <c r="C11" i="20"/>
  <c r="C12" i="20" s="1"/>
  <c r="C18" i="15" l="1"/>
  <c r="C24" i="2"/>
  <c r="C16" i="40"/>
  <c r="C34" i="2" s="1"/>
  <c r="E11" i="21" l="1"/>
  <c r="E12" i="21" s="1"/>
  <c r="C13" i="2" l="1"/>
  <c r="C19" i="37"/>
  <c r="C20" i="37" s="1"/>
  <c r="C10" i="2" l="1"/>
  <c r="C16" i="30" l="1"/>
  <c r="C17" i="30" s="1"/>
  <c r="C21" i="30" l="1"/>
  <c r="C22" i="30" s="1"/>
  <c r="C18" i="2"/>
  <c r="E19" i="37"/>
  <c r="E20" i="37" s="1"/>
  <c r="C12" i="15" l="1"/>
  <c r="C26" i="30"/>
  <c r="C27" i="30" s="1"/>
  <c r="C11" i="2" l="1"/>
  <c r="C16" i="36" s="1"/>
  <c r="C11" i="36" l="1"/>
  <c r="C15" i="36" s="1"/>
  <c r="C17" i="36" s="1"/>
  <c r="C19" i="2" l="1"/>
  <c r="C9" i="2"/>
  <c r="C16" i="2" s="1"/>
  <c r="C21" i="36" l="1"/>
  <c r="C22" i="36" s="1"/>
  <c r="C17" i="2"/>
  <c r="C20" i="2" l="1"/>
  <c r="C13" i="15"/>
  <c r="C26" i="36"/>
  <c r="C27" i="36" l="1"/>
  <c r="C13" i="22" s="1"/>
  <c r="C37" i="2"/>
  <c r="C31" i="36" l="1"/>
  <c r="C32" i="36" s="1"/>
  <c r="C13" i="23" s="1"/>
  <c r="C31" i="30"/>
  <c r="C32" i="30" s="1"/>
  <c r="C9" i="15"/>
  <c r="C10" i="15" s="1"/>
  <c r="C11" i="15" l="1"/>
  <c r="C12" i="22"/>
  <c r="C12" i="23"/>
  <c r="C14" i="15" l="1"/>
  <c r="C23" i="15" s="1"/>
  <c r="C9" i="22" l="1"/>
  <c r="C10" i="22" s="1"/>
  <c r="C11" i="22" s="1"/>
  <c r="C14" i="22" s="1"/>
  <c r="C23" i="22" s="1"/>
  <c r="C9" i="23" l="1"/>
  <c r="C10" i="23" s="1"/>
  <c r="C11" i="23" l="1"/>
  <c r="C14" i="23" s="1"/>
  <c r="C21" i="23" s="1"/>
</calcChain>
</file>

<file path=xl/sharedStrings.xml><?xml version="1.0" encoding="utf-8"?>
<sst xmlns="http://schemas.openxmlformats.org/spreadsheetml/2006/main" count="561" uniqueCount="240">
  <si>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</si>
  <si>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</si>
  <si>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</si>
  <si>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</si>
  <si>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</si>
  <si>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</si>
  <si>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</si>
  <si>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</si>
  <si>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</si>
  <si>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</si>
  <si>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</si>
  <si>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</si>
  <si>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</si>
  <si>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</si>
  <si>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</si>
  <si>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</si>
  <si>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</si>
  <si>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</si>
  <si>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</si>
  <si>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</si>
  <si>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</si>
  <si>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</si>
  <si>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</si>
  <si>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</si>
  <si>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</si>
  <si>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</si>
  <si>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</si>
  <si>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</si>
  <si>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</si>
  <si>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</si>
  <si>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</si>
  <si>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</si>
  <si>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</si>
  <si>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</si>
  <si>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</si>
  <si>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</si>
  <si>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</si>
  <si>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Nye varige tillæg</t>
  </si>
  <si>
    <t>Engangstillæg - Anlæg</t>
  </si>
  <si>
    <t>Fane 7</t>
  </si>
  <si>
    <t>Varige tillæg</t>
  </si>
  <si>
    <t>Engangstillæg</t>
  </si>
  <si>
    <t>Periodevise driftsomkostninger</t>
  </si>
  <si>
    <t>Engangstillæg i alt</t>
  </si>
  <si>
    <t>Fane 5: Individuelt effektiviseringskrav</t>
  </si>
  <si>
    <t>Generelt effektiviseringskrav på drift</t>
  </si>
  <si>
    <t>Generelt effektiviseringskrav på anlæg</t>
  </si>
  <si>
    <t>Tillæg til tilbagebetaling af vejbidrag</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</si>
  <si>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</si>
  <si>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</si>
  <si>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</si>
  <si>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</si>
  <si>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</si>
  <si>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</si>
  <si>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</si>
  <si>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</si>
  <si>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</si>
  <si>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</si>
  <si>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</si>
  <si>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Generelt effektiviseringskrav til brug for driftsomkostninger</t>
  </si>
  <si>
    <t>Tillæg til medfinansieringsprojekter godkendt under prisloftsbekendtgørelsen</t>
  </si>
  <si>
    <t>Fane 3</t>
  </si>
  <si>
    <t>Tidligere tilknyttet virksomhed - Drift</t>
  </si>
  <si>
    <t>Tidligere tilknyttet virksomhed - Anlæg</t>
  </si>
  <si>
    <t>Videreførte omkostninger fra den økonomiske ramme for 2023</t>
  </si>
  <si>
    <t>Økonomisk ramme for 2024</t>
  </si>
  <si>
    <t>Tilknyttet virksomhed under hovedvirksomheden</t>
  </si>
  <si>
    <t>Beskrivelse af tilknyttet virksomhed</t>
  </si>
  <si>
    <t>Tilknyttet virksomhed</t>
  </si>
  <si>
    <t>Kontrol med overholdelse af økonomiske rammer</t>
  </si>
  <si>
    <t>Kontrol med de økonomiske rammer til indregning</t>
  </si>
  <si>
    <t>Økonomisk ramme for 2025</t>
  </si>
  <si>
    <t>Tillæg til den økonomiske ramme for 2025</t>
  </si>
  <si>
    <t>Periodevise driftsomkostninger til de økonomiske rammer for 2025</t>
  </si>
  <si>
    <t>Periodevise driftsomkostninger i alt i 2025-prisniveau</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</si>
  <si>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</si>
  <si>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</si>
  <si>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</si>
  <si>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</si>
  <si>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</si>
  <si>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</si>
  <si>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</si>
  <si>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</si>
  <si>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</si>
  <si>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Periodevise driftsomkostninger til de økonomiske rammer for 2026</t>
  </si>
  <si>
    <t>Periodevise driftsomkostninger i alt i 2026-prisniveau</t>
  </si>
  <si>
    <t>Anlægsprojekter igangsat senest den 1. marts 2016</t>
  </si>
  <si>
    <t>Anlægsprojekter igangsat senest 1. marts 2016</t>
  </si>
  <si>
    <t>Base for driftsomkostninger til de økonomiske rammer for 2024</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</si>
  <si>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</si>
  <si>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</si>
  <si>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</si>
  <si>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</si>
  <si>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</si>
  <si>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</si>
  <si>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</si>
  <si>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</si>
  <si>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</si>
  <si>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</si>
  <si>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</si>
  <si>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</si>
  <si>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</si>
  <si>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</si>
  <si>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</si>
  <si>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</si>
  <si>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</si>
  <si>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</si>
  <si>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</si>
  <si>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</si>
  <si>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</si>
  <si>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</si>
  <si>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</si>
  <si>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</si>
  <si>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</si>
  <si>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</si>
  <si>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</si>
  <si>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</si>
  <si>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</si>
  <si>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</si>
  <si>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</si>
  <si>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</si>
  <si>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 xml:space="preserve">Note: Opgørelsen af over/underdækningen er taget fra jeres tidligere fremsendte økonomiske rammer og statusmeddelelser. I kan derfor ikke komme med høringssvar til denne opgørelse. </t>
  </si>
  <si>
    <t>Prisudvikling til brug for ØR2024-2025</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</si>
  <si>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</si>
  <si>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</si>
  <si>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</si>
  <si>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</si>
  <si>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2025</t>
  </si>
  <si>
    <t>Korrektion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</si>
  <si>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</si>
  <si>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</si>
  <si>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</si>
  <si>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</si>
  <si>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</si>
  <si>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</si>
  <si>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</si>
  <si>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</si>
  <si>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</si>
  <si>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Generelt effektiviseringskrav til anlægsomkostninger i de vejledende økonomiske rammer for 2027</t>
  </si>
  <si>
    <t>Nye tillæg i alt i 2023-prisniveau</t>
  </si>
  <si>
    <t>Periodevise driftsomkostninger til de økonomiske rammer for 2027</t>
  </si>
  <si>
    <t>Periodevise driftsomkostninger i alt i 2027-prisniveau</t>
  </si>
  <si>
    <t>Tilknyttet virksomhed under hovedvirksomheden i alt (2023-prisniveau)</t>
  </si>
  <si>
    <t>Bortfald eller nedsættelse i alt i 2023-prisniveau</t>
  </si>
  <si>
    <t>Vejledende</t>
  </si>
  <si>
    <t>Generelt effektiviseringskrav til driftsomkostninger i de vejledende økonomiske rammer for 2026</t>
  </si>
  <si>
    <t>Generelt effektiviseringskrav til anlægsomkostninger i de økonomiske rammer for 2025</t>
  </si>
  <si>
    <t>Generelt effektiviseringskrav til anlægsomkostninger i de økonomiske rammer for 2024</t>
  </si>
  <si>
    <t>Tillæg til den økonomiske ramme for 2027</t>
  </si>
  <si>
    <t>Vejledende økonomisk ramme for 2027</t>
  </si>
  <si>
    <t xml:space="preserve"> </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</si>
  <si>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</si>
  <si>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</si>
  <si>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</si>
  <si>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</si>
  <si>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</si>
  <si>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</si>
  <si>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</si>
  <si>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</si>
  <si>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</si>
  <si>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</si>
  <si>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</si>
  <si>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</si>
  <si>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anlægsomkostninger i de vejledende økonomiske rammer for 2028</t>
  </si>
  <si>
    <t>Individuelt effektiviseringskrav til de økonomiske rammer for 2025-2028</t>
  </si>
  <si>
    <t>Faktiske ikke-påvirkelige omkostninger i 2023</t>
  </si>
  <si>
    <t>Omkostninger i 2023</t>
  </si>
  <si>
    <t>Ikke-påvirkelige omkostninger i 2023-prisniveau</t>
  </si>
  <si>
    <t>Ikke-påvirkelige omkostninger i 2025-prisniveau</t>
  </si>
  <si>
    <t>Tillæg til den økonomiske ramme for 2028</t>
  </si>
  <si>
    <t>Fane 9: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</si>
  <si>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</si>
  <si>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</si>
  <si>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</si>
  <si>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</si>
  <si>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</si>
  <si>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</si>
  <si>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</si>
  <si>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2025-prisniveau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</si>
  <si>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</si>
  <si>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</si>
  <si>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</si>
  <si>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</si>
  <si>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 økonomiske rammer for 2025</t>
  </si>
  <si>
    <t>Nye varige driftsomkostninger til de økonomiske rammer for 2025</t>
  </si>
  <si>
    <t>Nye varige anlægsomkostninger i de økonomiske rammer for 2025</t>
  </si>
  <si>
    <t>Vejledende økonomisk ramme for 2026</t>
  </si>
  <si>
    <t>Generelt effektiviseringskrav til driftsomkostninger i de vejledende økonomiske rammer for 2027</t>
  </si>
  <si>
    <t>Generelt effektiviseringskrav til driftsomkostninger i de vejledende økonomiske rammer for 2028</t>
  </si>
  <si>
    <t>Base for driftsomkostninger til de vejledende økonomiske rammer for 2026</t>
  </si>
  <si>
    <t>Base for driftsomkostninger til de vejledende økonomiske rammer for 2027</t>
  </si>
  <si>
    <t>Base for driftsomkostninger til de vejledende økonomiske rammer for 2028</t>
  </si>
  <si>
    <t>Base for anlægsomkostninger til de vejledende økonomiske rammer for 2026</t>
  </si>
  <si>
    <t>Base for anlægsomkostninger til de vejledende økonomiske rammer for 2027</t>
  </si>
  <si>
    <t>Vejledende generelt effektiviseringskrav til driftsomkostningerne i ØR27</t>
  </si>
  <si>
    <t>Vejledende generelt effektiviseringskrav til driftsomkostningerne i ØR28</t>
  </si>
  <si>
    <t>Vejledende generelt effektiviseringskrav til driftsomkostningerne i ØR26</t>
  </si>
  <si>
    <t>Vejledende generelt effektiviseringskrav til anlægsomkostningerne i ØR26</t>
  </si>
  <si>
    <t>Vejledende generelt effektiviseringskrav til anlægsomkostningerne i ØR27</t>
  </si>
  <si>
    <t>Vejledende generelt effektiviseringskrav til anlægsomkostningerne i ØR28</t>
  </si>
  <si>
    <t>Base for anlægsomkostninger til de vejledende økonomiske rammer for 2028</t>
  </si>
  <si>
    <t>Fane 7: Kontrol med overholdelse af den økonomiske ramme for 2023</t>
  </si>
  <si>
    <t>Indregnet fradrag i økonomisk ramme for 2024</t>
  </si>
  <si>
    <t>Indregnet fradrag i økonomisk ramme for 2025</t>
  </si>
  <si>
    <t>Over/underdækning i 2022</t>
  </si>
  <si>
    <t>Kontrol med overholdelse af den økonomiske ramme for 2023</t>
  </si>
  <si>
    <t>Indtægtsramme i den økonomiske ramme for 2023</t>
  </si>
  <si>
    <t>Faktiske indtægter i 2023</t>
  </si>
  <si>
    <t>Resultat af kontrol med overholdelse af den økonomiske rammer for 2023</t>
  </si>
  <si>
    <t>Korrektion af fradrag i den økonomiske ramme for 2025</t>
  </si>
  <si>
    <t>Tillæg/fradrag i den økonomiske ramme for 2025</t>
  </si>
  <si>
    <t>Til indregning i de økonomiske rammer for 2026-2027</t>
  </si>
  <si>
    <t xml:space="preserve">Note: Opgørelsen af overholdelse af den økonomiske ramme for 2022 taget fra jeres tidligere fremsendte afgørelse. I kan derfor ikke komme med høringssvar til denne opgørelse. Positive værdier er udtryk for at rammerne er overholdt (underdækning) og negative værdier er udtryk for at rammerne ikke er overholdt (overdækning). </t>
  </si>
  <si>
    <t>Generelt effektiviseringskrav til brug for anlægsomkostninger i ØR2024-2025</t>
  </si>
  <si>
    <t>Bortfald eller nedsættelse i alt i 2025-prisniveau</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</si>
  <si>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</si>
  <si>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</si>
  <si>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</si>
  <si>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 xml:space="preserve">Note: Denne opgørelse er taget fra jeres afgørelse om økonomiske rammer for 2024-2025.
I kan derfor ikke komme med høringssvar til denne opgørelse. </t>
  </si>
  <si>
    <t>Omkostninger til § 19-tillæg i alt - 2023 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</si>
  <si>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</si>
  <si>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</si>
  <si>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</si>
  <si>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</si>
  <si>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nye omkostninger i ØR2025</t>
  </si>
  <si>
    <t>Generelt effektiviseringskrav til brug for nye anlægsomkostninger i ØR2025</t>
  </si>
  <si>
    <t>Til statusmeddelelse for 2025</t>
  </si>
  <si>
    <t>Spildevandsafgift</t>
  </si>
  <si>
    <t>Afgift til Forsyningssekretariatet</t>
  </si>
  <si>
    <t>Køb af ydelser og produkter fra andre vandselskaber reguleret af vandsektorloven</t>
  </si>
  <si>
    <t>Ejendomsskatter</t>
  </si>
  <si>
    <t>Erstatninger</t>
  </si>
  <si>
    <t>Gebyr til Miljøstyrelsen</t>
  </si>
  <si>
    <t>10189 Festivalområdet/Dyreskuepladsen/Milen- Driftsomkostninger</t>
  </si>
  <si>
    <t>FSR-000172-02 Ristehus - Bjergmarken Rens</t>
  </si>
  <si>
    <t>FSR- Byggemodninger og stikledninger 2023</t>
  </si>
  <si>
    <t>Periodevise driftsomkostninger - oprens. af bassin (projekt-ID FSR-000040-04-01)</t>
  </si>
  <si>
    <t>Periodevise driftsomkostninger - oprens. af bassin (projekt-ID FSR-000037-15-01)</t>
  </si>
  <si>
    <t xml:space="preserve">Periodevise driftsomkostninger - oprens. af bassin 2023 </t>
  </si>
  <si>
    <t xml:space="preserve">Periodevise driftsomkostninger - oprens. af bassin 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</si>
</sst>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0" fontId="2" fillId="2" borderId="0" xfId="0" applyFont="1" applyFill="1" applyAlignment="1" applyProtection="1">
      <alignment vertical="center" wrapText="1"/>
    </xf>
    <xf numFmtId="0" fontId="8" fillId="8" borderId="3" xfId="0" applyFont="1" applyFill="1" applyBorder="1" applyProtection="1"/>
    <xf numFmtId="0" fontId="8" fillId="8" borderId="2" xfId="0" applyFont="1" applyFill="1" applyBorder="1" applyAlignment="1" applyProtection="1"/>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3" fontId="8" fillId="4" borderId="1" xfId="0" quotePrefix="1" applyNumberFormat="1" applyFont="1" applyFill="1" applyBorder="1" applyProtection="1"/>
    <xf numFmtId="164" fontId="0" fillId="2" borderId="0" xfId="0" applyNumberFormat="1" applyFill="1" applyProtection="1"/>
    <xf numFmtId="0" fontId="8" fillId="8" borderId="2" xfId="0" quotePrefix="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2" fillId="2" borderId="0" xfId="0" applyFont="1" applyFill="1" applyBorder="1" applyAlignment="1" applyProtection="1">
      <alignment wrapText="1"/>
    </xf>
    <xf numFmtId="49" fontId="8" fillId="8" borderId="2" xfId="0" applyNumberFormat="1" applyFont="1" applyFill="1" applyBorder="1" applyAlignment="1" applyProtection="1">
      <alignment wrapText="1"/>
    </xf>
    <xf numFmtId="1" fontId="8" fillId="8" borderId="2" xfId="1" quotePrefix="1" applyNumberFormat="1" applyFont="1" applyFill="1" applyBorder="1" applyAlignment="1" applyProtection="1">
      <alignment horizontal="right" wrapText="1"/>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9"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8" fillId="8" borderId="8"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650816"/>
      <color rgb="FFF2DCDB"/>
      <color rgb="FFB6DDF3"/>
      <color rgb="FFD9D9D9"/>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50"/>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8" width="0" style="2" hidden="1" customWidth="1"/>
    <col min="9"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95" t="s">
        <v>4</v>
      </c>
      <c r="D6" s="95"/>
      <c r="E6" s="95"/>
      <c r="F6" s="95"/>
      <c r="G6" s="3"/>
    </row>
    <row r="7" spans="1:7" ht="15" customHeight="1" x14ac:dyDescent="0.25">
      <c r="A7" s="1"/>
      <c r="B7" s="3"/>
      <c r="C7" s="95"/>
      <c r="D7" s="95"/>
      <c r="E7" s="95"/>
      <c r="F7" s="95"/>
      <c r="G7" s="3"/>
    </row>
    <row r="8" spans="1:7" ht="15.75" x14ac:dyDescent="0.25">
      <c r="A8" s="1"/>
      <c r="B8" s="4"/>
      <c r="C8" s="100" t="s">
        <v>226</v>
      </c>
      <c r="D8" s="100"/>
      <c r="E8" s="100"/>
      <c r="F8" s="100"/>
      <c r="G8" s="4"/>
    </row>
    <row r="9" spans="1:7" x14ac:dyDescent="0.25">
      <c r="A9" s="1"/>
      <c r="B9" s="5"/>
      <c r="C9" s="5"/>
      <c r="D9" s="5"/>
      <c r="E9" s="5"/>
      <c r="F9" s="5"/>
      <c r="G9" s="5"/>
    </row>
    <row r="10" spans="1:7" x14ac:dyDescent="0.25">
      <c r="A10" s="1"/>
      <c r="B10" s="5"/>
      <c r="C10" s="5"/>
      <c r="D10" s="5"/>
      <c r="E10" s="5"/>
      <c r="F10" s="5"/>
      <c r="G10" s="5"/>
    </row>
    <row r="11" spans="1:7" x14ac:dyDescent="0.25">
      <c r="A11" s="1"/>
      <c r="B11" s="5"/>
      <c r="C11" s="99" t="s">
        <v>5</v>
      </c>
      <c r="D11" s="99"/>
      <c r="E11" s="99"/>
      <c r="F11" s="99"/>
      <c r="G11" s="5"/>
    </row>
    <row r="12" spans="1:7" x14ac:dyDescent="0.25">
      <c r="A12" s="1"/>
      <c r="B12" s="1"/>
      <c r="C12" s="1"/>
      <c r="D12" s="1"/>
      <c r="E12" s="1"/>
      <c r="F12" s="1"/>
      <c r="G12" s="5"/>
    </row>
    <row r="13" spans="1:7" x14ac:dyDescent="0.25">
      <c r="A13" s="1"/>
      <c r="B13" s="6" t="s">
        <v>6</v>
      </c>
      <c r="C13" s="101" t="s">
        <v>127</v>
      </c>
      <c r="D13" s="102"/>
      <c r="E13" s="102"/>
      <c r="F13" s="103"/>
      <c r="G13" s="5"/>
    </row>
    <row r="14" spans="1:7" x14ac:dyDescent="0.25">
      <c r="A14" s="1"/>
      <c r="B14" s="6" t="s">
        <v>16</v>
      </c>
      <c r="C14" s="92" t="s">
        <v>186</v>
      </c>
      <c r="D14" s="93"/>
      <c r="E14" s="93"/>
      <c r="F14" s="94"/>
      <c r="G14" s="5"/>
    </row>
    <row r="15" spans="1:7" x14ac:dyDescent="0.25">
      <c r="A15" s="1"/>
      <c r="B15" s="6" t="s">
        <v>30</v>
      </c>
      <c r="C15" s="92" t="s">
        <v>149</v>
      </c>
      <c r="D15" s="93"/>
      <c r="E15" s="93"/>
      <c r="F15" s="94"/>
      <c r="G15" s="5"/>
    </row>
    <row r="16" spans="1:7" x14ac:dyDescent="0.25">
      <c r="A16" s="1"/>
      <c r="B16" s="6" t="s">
        <v>31</v>
      </c>
      <c r="C16" s="92" t="s">
        <v>151</v>
      </c>
      <c r="D16" s="93"/>
      <c r="E16" s="93"/>
      <c r="F16" s="94"/>
      <c r="G16" s="5"/>
    </row>
    <row r="17" spans="1:8" x14ac:dyDescent="0.25">
      <c r="A17" s="1"/>
      <c r="B17" s="6" t="s">
        <v>61</v>
      </c>
      <c r="C17" s="92" t="s">
        <v>152</v>
      </c>
      <c r="D17" s="93"/>
      <c r="E17" s="93"/>
      <c r="F17" s="94"/>
      <c r="G17" s="5"/>
    </row>
    <row r="18" spans="1:8" x14ac:dyDescent="0.25">
      <c r="A18" s="1"/>
      <c r="B18" s="6" t="s">
        <v>53</v>
      </c>
      <c r="C18" s="89" t="s">
        <v>45</v>
      </c>
      <c r="D18" s="90"/>
      <c r="E18" s="90"/>
      <c r="F18" s="91"/>
      <c r="G18" s="5"/>
    </row>
    <row r="19" spans="1:8" x14ac:dyDescent="0.25">
      <c r="A19" s="1"/>
      <c r="B19" s="6" t="s">
        <v>54</v>
      </c>
      <c r="C19" s="89" t="s">
        <v>46</v>
      </c>
      <c r="D19" s="90"/>
      <c r="E19" s="90"/>
      <c r="F19" s="91"/>
      <c r="G19" s="5"/>
    </row>
    <row r="20" spans="1:8" x14ac:dyDescent="0.25">
      <c r="A20" s="1"/>
      <c r="B20" s="6" t="s">
        <v>7</v>
      </c>
      <c r="C20" s="89" t="s">
        <v>10</v>
      </c>
      <c r="D20" s="90"/>
      <c r="E20" s="90"/>
      <c r="F20" s="91"/>
      <c r="G20" s="5"/>
    </row>
    <row r="21" spans="1:8" x14ac:dyDescent="0.25">
      <c r="A21" s="1"/>
      <c r="B21" s="6" t="s">
        <v>55</v>
      </c>
      <c r="C21" s="96" t="s">
        <v>12</v>
      </c>
      <c r="D21" s="97"/>
      <c r="E21" s="97"/>
      <c r="F21" s="98"/>
      <c r="G21" s="5"/>
    </row>
    <row r="22" spans="1:8" x14ac:dyDescent="0.25">
      <c r="A22" s="1"/>
      <c r="B22" s="6" t="s">
        <v>39</v>
      </c>
      <c r="C22" s="83" t="s">
        <v>153</v>
      </c>
      <c r="D22" s="84"/>
      <c r="E22" s="84"/>
      <c r="F22" s="85"/>
      <c r="G22" s="5"/>
    </row>
    <row r="23" spans="1:8" x14ac:dyDescent="0.25">
      <c r="A23" s="1"/>
      <c r="B23" s="6" t="s">
        <v>8</v>
      </c>
      <c r="C23" s="83" t="s">
        <v>112</v>
      </c>
      <c r="D23" s="84"/>
      <c r="E23" s="84"/>
      <c r="F23" s="85"/>
      <c r="G23" s="5"/>
    </row>
    <row r="24" spans="1:8" x14ac:dyDescent="0.25">
      <c r="A24" s="1"/>
      <c r="B24" s="6" t="s">
        <v>9</v>
      </c>
      <c r="C24" s="83" t="s">
        <v>154</v>
      </c>
      <c r="D24" s="84"/>
      <c r="E24" s="84"/>
      <c r="F24" s="85"/>
      <c r="G24" s="5"/>
    </row>
    <row r="25" spans="1:8" x14ac:dyDescent="0.25">
      <c r="A25" s="1"/>
      <c r="B25" s="6" t="s">
        <v>97</v>
      </c>
      <c r="C25" s="83" t="s">
        <v>91</v>
      </c>
      <c r="D25" s="84"/>
      <c r="E25" s="84"/>
      <c r="F25" s="85"/>
      <c r="G25" s="1"/>
    </row>
    <row r="26" spans="1:8" x14ac:dyDescent="0.25">
      <c r="A26" s="1"/>
      <c r="B26" s="6" t="s">
        <v>98</v>
      </c>
      <c r="C26" s="83" t="s">
        <v>40</v>
      </c>
      <c r="D26" s="84"/>
      <c r="E26" s="84"/>
      <c r="F26" s="85"/>
      <c r="G26" s="1"/>
    </row>
    <row r="27" spans="1:8" x14ac:dyDescent="0.25">
      <c r="A27" s="1"/>
      <c r="B27" s="6" t="s">
        <v>99</v>
      </c>
      <c r="C27" s="83" t="s">
        <v>41</v>
      </c>
      <c r="D27" s="84"/>
      <c r="E27" s="84"/>
      <c r="F27" s="85"/>
      <c r="G27" s="1"/>
    </row>
    <row r="28" spans="1:8" x14ac:dyDescent="0.25">
      <c r="A28" s="1"/>
      <c r="B28" s="6" t="s">
        <v>15</v>
      </c>
      <c r="C28" s="83" t="s">
        <v>42</v>
      </c>
      <c r="D28" s="84"/>
      <c r="E28" s="84"/>
      <c r="F28" s="85"/>
      <c r="G28" s="1"/>
      <c r="H28" s="2" t="s">
        <v>150</v>
      </c>
    </row>
    <row r="29" spans="1:8" x14ac:dyDescent="0.25">
      <c r="A29" s="1"/>
      <c r="B29" s="6" t="s">
        <v>33</v>
      </c>
      <c r="C29" s="83" t="s">
        <v>68</v>
      </c>
      <c r="D29" s="84"/>
      <c r="E29" s="84"/>
      <c r="F29" s="85"/>
      <c r="G29" s="1"/>
    </row>
    <row r="30" spans="1:8" x14ac:dyDescent="0.25">
      <c r="A30" s="1"/>
      <c r="B30" s="6" t="s">
        <v>34</v>
      </c>
      <c r="C30" s="83" t="s">
        <v>32</v>
      </c>
      <c r="D30" s="84"/>
      <c r="E30" s="84"/>
      <c r="F30" s="85"/>
      <c r="G30" s="1"/>
    </row>
    <row r="31" spans="1:8" x14ac:dyDescent="0.25">
      <c r="A31" s="1"/>
      <c r="B31" s="6" t="s">
        <v>100</v>
      </c>
      <c r="C31" s="86" t="s">
        <v>52</v>
      </c>
      <c r="D31" s="87"/>
      <c r="E31" s="87"/>
      <c r="F31" s="88"/>
      <c r="G31" s="1"/>
    </row>
    <row r="32" spans="1:8"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44"/>
      <c r="B50" s="44"/>
      <c r="C50" s="44"/>
      <c r="D50" s="44"/>
      <c r="E50" s="44"/>
      <c r="F50" s="44"/>
      <c r="G50" s="44"/>
    </row>
  </sheetData>
  <sheetProtection algorithmName="SHA-512" hashValue="9wUzgcEVEbFVssB3lKPx65TwPfQFL0RN1uQX13CGoQXl46pAD6auV+WeedhMO2GxNxqCNljCNtGTBOPcW3DNOQ==" saltValue="QeM3CQoWkLFrwYnZ+aHoOw==" spinCount="100000" sheet="1" objects="1" scenarios="1"/>
  <mergeCells count="22">
    <mergeCell ref="C14:F14"/>
    <mergeCell ref="C6:F7"/>
    <mergeCell ref="C21:F21"/>
    <mergeCell ref="C22:F22"/>
    <mergeCell ref="C11:F11"/>
    <mergeCell ref="C8:F8"/>
    <mergeCell ref="C15:F15"/>
    <mergeCell ref="C16:F16"/>
    <mergeCell ref="C19:F19"/>
    <mergeCell ref="C13:F13"/>
    <mergeCell ref="C17:F17"/>
    <mergeCell ref="C20:F20"/>
    <mergeCell ref="C30:F30"/>
    <mergeCell ref="C31:F31"/>
    <mergeCell ref="C18:F18"/>
    <mergeCell ref="C25:F25"/>
    <mergeCell ref="C26:F26"/>
    <mergeCell ref="C29:F29"/>
    <mergeCell ref="C27:F27"/>
    <mergeCell ref="C28:F28"/>
    <mergeCell ref="C24:F24"/>
    <mergeCell ref="C23:F23"/>
  </mergeCells>
  <hyperlinks>
    <hyperlink ref="C14:F14" location="'Fane 2.2. Økonomisk ramme 2026'!A1" display="Vejledende økonomisk ramme for 2026" xr:uid="{00000000-0004-0000-0000-000000000000}"/>
    <hyperlink ref="C26:F26" location="'Fane 11.1. Varige tillæg'!A1" display="Varige tillæg" xr:uid="{00000000-0004-0000-0000-000001000000}"/>
    <hyperlink ref="C29:F29" location="'Fane 13. Tilknyttet virksomhed'!A1" display="Tilknyttet virksomhed" xr:uid="{00000000-0004-0000-0000-000002000000}"/>
    <hyperlink ref="C30:F30" location="'Fane 14.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2:F22" location="'Fane 7. Kontrol af ØR2023'!A1" display="Kontrol af den økonomiske ramme for 2023" xr:uid="{00000000-0004-0000-0000-000007000000}"/>
    <hyperlink ref="C25:F25" location="'Fane 10. Anlægsprojekter (§ 19)'!A1" display="Anlægsprojekter (§ 19) " xr:uid="{00000000-0004-0000-0000-000008000000}"/>
    <hyperlink ref="C31:F31" location="'Fane 15. Nøgletal'!A1" display="Nøgletal" xr:uid="{00000000-0004-0000-0000-000009000000}"/>
    <hyperlink ref="C17:F17" location="'Fane 3. Omkostninger i ØR2024'!A1" display="Omkostninger i ØR2024" xr:uid="{00000000-0004-0000-0000-00000A000000}"/>
    <hyperlink ref="C27:F27" location="'Fane 11.2. Engangstillæg'!A1" display="Engangstillæg" xr:uid="{00000000-0004-0000-0000-00000B000000}"/>
    <hyperlink ref="C28:F28" location="'Fane 12. Periodevise driftsomk.'!A1" display="Periodevise driftsomkostninger" xr:uid="{00000000-0004-0000-0000-00000C000000}"/>
    <hyperlink ref="C24:F24" location="'Fane 9. Korrektion af ØR2023'!A1" display="Korrektion af den økonomiske ramme for 2023" xr:uid="{00000000-0004-0000-0000-00000D000000}"/>
    <hyperlink ref="C21:F21" location="'Fane 6. Ikke-påvirkelige omk.'!A1" display="Ikke-påvirkelige omkostninger" xr:uid="{00000000-0004-0000-0000-00000E000000}"/>
    <hyperlink ref="C18:F18" location="'Fane 4.1. Gen. krav - drift'!A1" display="Generelt effektiviseringskrav på drift" xr:uid="{00000000-0004-0000-0000-00000F000000}"/>
    <hyperlink ref="C20:F20" location="'Fane 5. Individuelt eff. krav'!A1" display="Individuelt effektiviseringskrav" xr:uid="{00000000-0004-0000-0000-000010000000}"/>
    <hyperlink ref="C19:F19" location="'Fane 4.2. Gen. krav - anlæg'!A1" display="Generelt effektiviseringskrav på anlæg" xr:uid="{00000000-0004-0000-0000-000011000000}"/>
    <hyperlink ref="C23:F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7"/>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155</v>
      </c>
      <c r="C3" s="104"/>
      <c r="D3" s="104"/>
      <c r="E3" s="1"/>
    </row>
    <row r="4" spans="1:5" ht="15" customHeight="1" x14ac:dyDescent="0.25">
      <c r="A4" s="1"/>
      <c r="B4" s="104"/>
      <c r="C4" s="104"/>
      <c r="D4" s="10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90</v>
      </c>
      <c r="C9" s="7">
        <f>'Fane 3. Omkostninger i ØR2024'!C20</f>
        <v>130237889.77319671</v>
      </c>
      <c r="D9" s="8" t="s">
        <v>3</v>
      </c>
      <c r="E9" s="1"/>
    </row>
    <row r="10" spans="1:5" ht="17.25" customHeight="1" x14ac:dyDescent="0.25">
      <c r="A10" s="1"/>
      <c r="B10" s="64" t="s">
        <v>35</v>
      </c>
      <c r="C10" s="7">
        <f>'Fane 11.1. Varige tillæg'!C20</f>
        <v>1346353.0320000001</v>
      </c>
      <c r="D10" s="8" t="s">
        <v>3</v>
      </c>
      <c r="E10" s="1"/>
    </row>
    <row r="11" spans="1:5" ht="17.25" customHeight="1" x14ac:dyDescent="0.25">
      <c r="A11" s="1"/>
      <c r="B11" s="64" t="s">
        <v>36</v>
      </c>
      <c r="C11" s="9">
        <f>'Fane 11.1. Varige tillæg'!E20</f>
        <v>3882787.4994999999</v>
      </c>
      <c r="D11" s="8" t="s">
        <v>3</v>
      </c>
      <c r="E11" s="1"/>
    </row>
    <row r="12" spans="1:5" ht="17.25" customHeight="1" x14ac:dyDescent="0.25">
      <c r="A12" s="1"/>
      <c r="B12" s="64" t="s">
        <v>25</v>
      </c>
      <c r="C12" s="9">
        <f>-'Fane 14. Bortfald'!C12</f>
        <v>0</v>
      </c>
      <c r="D12" s="8" t="s">
        <v>3</v>
      </c>
      <c r="E12" s="1"/>
    </row>
    <row r="13" spans="1:5" ht="17.25" customHeight="1" x14ac:dyDescent="0.25">
      <c r="A13" s="1"/>
      <c r="B13" s="64" t="s">
        <v>24</v>
      </c>
      <c r="C13" s="9">
        <f>-'Fane 14. Bortfald'!E12</f>
        <v>0</v>
      </c>
      <c r="D13" s="8" t="s">
        <v>3</v>
      </c>
      <c r="E13" s="1"/>
    </row>
    <row r="14" spans="1:5" ht="17.25" customHeight="1" x14ac:dyDescent="0.25">
      <c r="A14" s="1"/>
      <c r="B14" s="64" t="s">
        <v>62</v>
      </c>
      <c r="C14" s="9">
        <f>'Fane 13. Tilknyttet virksomhed'!C12</f>
        <v>0</v>
      </c>
      <c r="D14" s="8" t="s">
        <v>3</v>
      </c>
      <c r="E14" s="1"/>
    </row>
    <row r="15" spans="1:5" ht="17.25" customHeight="1" x14ac:dyDescent="0.25">
      <c r="A15" s="1"/>
      <c r="B15" s="64" t="s">
        <v>63</v>
      </c>
      <c r="C15" s="9">
        <f>'Fane 13. Tilknyttet virksomhed'!E12</f>
        <v>0</v>
      </c>
      <c r="D15" s="8" t="s">
        <v>3</v>
      </c>
      <c r="E15" s="1"/>
    </row>
    <row r="16" spans="1:5" ht="17.25" customHeight="1" x14ac:dyDescent="0.25">
      <c r="A16" s="1"/>
      <c r="B16" s="64" t="s">
        <v>19</v>
      </c>
      <c r="C16" s="38">
        <f>SUM(C9)*'Fane 15. Nøgletal'!C9+SUM(C10:C11,C14:C15)*'Fane 15. Nøgletal'!C10</f>
        <v>10869913.510912742</v>
      </c>
      <c r="D16" s="8" t="s">
        <v>3</v>
      </c>
      <c r="E16" s="1"/>
    </row>
    <row r="17" spans="1:5" ht="17.25" customHeight="1" x14ac:dyDescent="0.25">
      <c r="A17" s="1"/>
      <c r="B17" s="64" t="s">
        <v>10</v>
      </c>
      <c r="C17" s="38">
        <f>-SUM(C9,C10:C16)*'Fane 5. Individuelt eff. krav'!C9</f>
        <v>-434582.15160157962</v>
      </c>
      <c r="D17" s="8" t="s">
        <v>3</v>
      </c>
      <c r="E17" s="1"/>
    </row>
    <row r="18" spans="1:5" ht="17.25" customHeight="1" x14ac:dyDescent="0.25">
      <c r="A18" s="1"/>
      <c r="B18" s="64" t="s">
        <v>22</v>
      </c>
      <c r="C18" s="38">
        <f>-'Fane 4.1. Gen. krav - drift'!C17</f>
        <v>-1179525.1486451966</v>
      </c>
      <c r="D18" s="8" t="s">
        <v>3</v>
      </c>
      <c r="E18" s="1"/>
    </row>
    <row r="19" spans="1:5" ht="17.25" customHeight="1" x14ac:dyDescent="0.25">
      <c r="A19" s="1"/>
      <c r="B19" s="64" t="s">
        <v>23</v>
      </c>
      <c r="C19" s="38">
        <f>-'Fane 4.2. Gen. krav - anlæg'!C17</f>
        <v>0</v>
      </c>
      <c r="D19" s="8" t="s">
        <v>3</v>
      </c>
      <c r="E19" s="43"/>
    </row>
    <row r="20" spans="1:5" ht="17.25" customHeight="1" x14ac:dyDescent="0.25">
      <c r="A20" s="1"/>
      <c r="B20" s="82" t="s">
        <v>21</v>
      </c>
      <c r="C20" s="10">
        <f>SUM(C9:C19)</f>
        <v>144722836.51536268</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4999259.7603480704</v>
      </c>
      <c r="D22" s="11" t="s">
        <v>3</v>
      </c>
      <c r="E22" s="1"/>
    </row>
    <row r="23" spans="1:5" ht="15" customHeight="1" x14ac:dyDescent="0.25">
      <c r="A23" s="1"/>
      <c r="B23" s="33" t="s">
        <v>42</v>
      </c>
      <c r="C23" s="28"/>
      <c r="D23" s="19"/>
      <c r="E23" s="1"/>
    </row>
    <row r="24" spans="1:5" ht="15" customHeight="1" x14ac:dyDescent="0.25">
      <c r="A24" s="1"/>
      <c r="B24" s="82" t="s">
        <v>42</v>
      </c>
      <c r="C24" s="10">
        <f>'Fane 12. Periodevise driftsomk.'!C12</f>
        <v>2444932.4043355472</v>
      </c>
      <c r="D24" s="11" t="s">
        <v>3</v>
      </c>
      <c r="E24" s="1"/>
    </row>
    <row r="25" spans="1:5" ht="15" customHeight="1" x14ac:dyDescent="0.25">
      <c r="A25" s="1"/>
      <c r="B25" s="41" t="s">
        <v>41</v>
      </c>
      <c r="C25" s="39"/>
      <c r="D25" s="40"/>
      <c r="E25" s="1"/>
    </row>
    <row r="26" spans="1:5" ht="15" customHeight="1" x14ac:dyDescent="0.25">
      <c r="A26" s="1"/>
      <c r="B26" s="64" t="s">
        <v>89</v>
      </c>
      <c r="C26" s="38">
        <f>'Fane 11.2. Engangstillæg'!C16</f>
        <v>7604586.4653580403</v>
      </c>
      <c r="D26" s="8" t="s">
        <v>3</v>
      </c>
      <c r="E26" s="1"/>
    </row>
    <row r="27" spans="1:5" ht="15" customHeight="1" x14ac:dyDescent="0.25">
      <c r="A27" s="1"/>
      <c r="B27" s="64" t="s">
        <v>38</v>
      </c>
      <c r="C27" s="38">
        <f>'Fane 11.2. Engangstillæg'!E16</f>
        <v>500608.96934578998</v>
      </c>
      <c r="D27" s="8" t="s">
        <v>3</v>
      </c>
      <c r="E27" s="1"/>
    </row>
    <row r="28" spans="1:5" ht="15" customHeight="1" x14ac:dyDescent="0.25">
      <c r="A28" s="1"/>
      <c r="B28" s="64" t="s">
        <v>92</v>
      </c>
      <c r="C28" s="38">
        <f>-C26*('Fane 15. Nøgletal'!C21+'Fane 5. Individuelt eff. krav'!C9)</f>
        <v>-174675.34669034023</v>
      </c>
      <c r="D28" s="8" t="s">
        <v>3</v>
      </c>
      <c r="E28" s="1"/>
    </row>
    <row r="29" spans="1:5" ht="15" customHeight="1" x14ac:dyDescent="0.25">
      <c r="A29" s="1"/>
      <c r="B29" s="64" t="s">
        <v>93</v>
      </c>
      <c r="C29" s="38">
        <f>-C27*('Fane 15. Nøgletal'!C16+'Fane 5. Individuelt eff. krav'!C9)</f>
        <v>-1486.6766883109965</v>
      </c>
      <c r="D29" s="8" t="s">
        <v>3</v>
      </c>
      <c r="E29" s="1"/>
    </row>
    <row r="30" spans="1:5" ht="15" customHeight="1" x14ac:dyDescent="0.25">
      <c r="A30" s="1"/>
      <c r="B30" s="67" t="s">
        <v>43</v>
      </c>
      <c r="C30" s="10">
        <f>SUM(C26:C29)</f>
        <v>7929033.41132518</v>
      </c>
      <c r="D30" s="11" t="s">
        <v>3</v>
      </c>
      <c r="E30" s="1"/>
    </row>
    <row r="31" spans="1:5" x14ac:dyDescent="0.25">
      <c r="A31" s="1"/>
      <c r="B31" s="33" t="s">
        <v>69</v>
      </c>
      <c r="C31" s="28"/>
      <c r="D31" s="19"/>
      <c r="E31" s="1"/>
    </row>
    <row r="32" spans="1:5" x14ac:dyDescent="0.25">
      <c r="A32" s="1"/>
      <c r="B32" s="31" t="s">
        <v>79</v>
      </c>
      <c r="C32" s="62">
        <f>'Fane 7. Kontrol af ØR2023'!C27</f>
        <v>2382316.1517562419</v>
      </c>
      <c r="D32" s="11" t="s">
        <v>3</v>
      </c>
      <c r="E32" s="1"/>
    </row>
    <row r="33" spans="1:5" ht="15" customHeight="1" x14ac:dyDescent="0.25">
      <c r="A33" s="1"/>
      <c r="B33" s="33" t="s">
        <v>154</v>
      </c>
      <c r="C33" s="28"/>
      <c r="D33" s="19"/>
      <c r="E33" s="1"/>
    </row>
    <row r="34" spans="1:5" x14ac:dyDescent="0.25">
      <c r="A34" s="1"/>
      <c r="B34" s="31" t="s">
        <v>154</v>
      </c>
      <c r="C34" s="10">
        <f>'Fane 9. Korrektion af ØR2023'!C16</f>
        <v>-3542863.5247442601</v>
      </c>
      <c r="D34" s="11" t="s">
        <v>3</v>
      </c>
      <c r="E34" s="1"/>
    </row>
    <row r="35" spans="1:5" x14ac:dyDescent="0.25">
      <c r="A35" s="1"/>
      <c r="B35" s="30" t="s">
        <v>75</v>
      </c>
      <c r="C35" s="28"/>
      <c r="D35" s="19"/>
      <c r="E35" s="1"/>
    </row>
    <row r="36" spans="1:5" x14ac:dyDescent="0.25">
      <c r="A36" s="1"/>
      <c r="B36" s="67" t="s">
        <v>76</v>
      </c>
      <c r="C36" s="10">
        <f>'Fane 8. Skattesagen'!C14</f>
        <v>0</v>
      </c>
      <c r="D36" s="11" t="s">
        <v>3</v>
      </c>
      <c r="E36" s="1"/>
    </row>
    <row r="37" spans="1:5" x14ac:dyDescent="0.25">
      <c r="A37" s="1"/>
      <c r="B37" s="33" t="s">
        <v>71</v>
      </c>
      <c r="C37" s="45">
        <f>SUM(C34,C32,C24,C30,C22,C20,C36)</f>
        <v>158935514.71838346</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d7xtFCfCTJvEiVNYi/B4dQufz0ajZQt4XQAmgu21py77GRhPhDZSczCEDIUFBr5nmaU+RdN4acjooApUztzJIA==" saltValue="eUFFyx6jIYDsDLT6S2vrxg=="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156</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80</v>
      </c>
      <c r="C9" s="7">
        <f>'Fane 2.1. Økonomisk ramme 2025'!C20</f>
        <v>144722836.51536268</v>
      </c>
      <c r="D9" s="8" t="s">
        <v>3</v>
      </c>
      <c r="E9" s="1"/>
    </row>
    <row r="10" spans="1:5" ht="15" customHeight="1" x14ac:dyDescent="0.25">
      <c r="A10" s="1"/>
      <c r="B10" s="26" t="s">
        <v>19</v>
      </c>
      <c r="C10" s="7">
        <f>C9*'Fane 15. Nøgletal'!C10</f>
        <v>9595124.0609685462</v>
      </c>
      <c r="D10" s="8" t="s">
        <v>3</v>
      </c>
      <c r="E10" s="1"/>
    </row>
    <row r="11" spans="1:5" ht="15" customHeight="1" x14ac:dyDescent="0.25">
      <c r="A11" s="1"/>
      <c r="B11" s="26" t="s">
        <v>10</v>
      </c>
      <c r="C11" s="9">
        <f>-SUM(C9:C10)*'Fane 5. Individuelt eff. krav'!C9</f>
        <v>-458283.66774239141</v>
      </c>
      <c r="D11" s="8" t="s">
        <v>3</v>
      </c>
      <c r="E11" s="1"/>
    </row>
    <row r="12" spans="1:5" ht="15" customHeight="1" x14ac:dyDescent="0.25">
      <c r="A12" s="1"/>
      <c r="B12" s="26" t="s">
        <v>22</v>
      </c>
      <c r="C12" s="9">
        <f>-'Fane 4.1. Gen. krav - drift'!C22</f>
        <v>-1232573.1126803658</v>
      </c>
      <c r="D12" s="8" t="s">
        <v>3</v>
      </c>
      <c r="E12" s="1"/>
    </row>
    <row r="13" spans="1:5" ht="15" customHeight="1" x14ac:dyDescent="0.25">
      <c r="A13" s="1"/>
      <c r="B13" s="26" t="s">
        <v>23</v>
      </c>
      <c r="C13" s="9">
        <f>-'Fane 4.2. Gen. krav - anlæg'!C22</f>
        <v>0</v>
      </c>
      <c r="D13" s="8" t="s">
        <v>3</v>
      </c>
      <c r="E13" s="1"/>
    </row>
    <row r="14" spans="1:5" ht="15" customHeight="1" x14ac:dyDescent="0.25">
      <c r="A14" s="1"/>
      <c r="B14" s="27" t="s">
        <v>21</v>
      </c>
      <c r="C14" s="10">
        <f>SUM(C9:C13)</f>
        <v>152627103.79590845</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Nøgletal'!C10)+'Fane 6. Ikke-påvirkelige omk.'!C26+'Fane 6. Ikke-påvirkelige omk.'!C34</f>
        <v>5330710.6824591476</v>
      </c>
      <c r="D16" s="11" t="s">
        <v>3</v>
      </c>
      <c r="E16" s="1"/>
    </row>
    <row r="17" spans="1:5" ht="15" customHeight="1" x14ac:dyDescent="0.25">
      <c r="A17" s="1"/>
      <c r="B17" s="33" t="s">
        <v>42</v>
      </c>
      <c r="C17" s="28"/>
      <c r="D17" s="19"/>
      <c r="E17" s="1"/>
    </row>
    <row r="18" spans="1:5" ht="15" customHeight="1" x14ac:dyDescent="0.25">
      <c r="A18" s="1"/>
      <c r="B18" s="82" t="s">
        <v>42</v>
      </c>
      <c r="C18" s="10">
        <f>'Fane 12. Periodevise driftsomk.'!C18</f>
        <v>2431426.3442310467</v>
      </c>
      <c r="D18" s="11" t="s">
        <v>3</v>
      </c>
      <c r="E18" s="1"/>
    </row>
    <row r="19" spans="1:5" x14ac:dyDescent="0.25">
      <c r="A19" s="1"/>
      <c r="B19" s="33" t="s">
        <v>69</v>
      </c>
      <c r="C19" s="28"/>
      <c r="D19" s="19"/>
      <c r="E19" s="1"/>
    </row>
    <row r="20" spans="1:5" ht="15" customHeight="1" x14ac:dyDescent="0.25">
      <c r="A20" s="1"/>
      <c r="B20" s="31" t="s">
        <v>79</v>
      </c>
      <c r="C20" s="10">
        <f>'Fane 7. Kontrol af ØR2023'!C33</f>
        <v>0</v>
      </c>
      <c r="D20" s="11" t="s">
        <v>3</v>
      </c>
      <c r="E20" s="1"/>
    </row>
    <row r="21" spans="1:5" x14ac:dyDescent="0.25">
      <c r="A21" s="1"/>
      <c r="B21" s="30" t="s">
        <v>75</v>
      </c>
      <c r="C21" s="28"/>
      <c r="D21" s="19"/>
      <c r="E21" s="1"/>
    </row>
    <row r="22" spans="1:5" x14ac:dyDescent="0.25">
      <c r="A22" s="1"/>
      <c r="B22" s="67" t="s">
        <v>76</v>
      </c>
      <c r="C22" s="10">
        <f>'Fane 8. Skattesagen'!C15</f>
        <v>0</v>
      </c>
      <c r="D22" s="11" t="s">
        <v>3</v>
      </c>
      <c r="E22" s="1"/>
    </row>
    <row r="23" spans="1:5" x14ac:dyDescent="0.25">
      <c r="A23" s="1"/>
      <c r="B23" s="33" t="s">
        <v>81</v>
      </c>
      <c r="C23" s="12">
        <f>SUM(C14,C16,C18,C20,C22)</f>
        <v>160389240.82259864</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oMUkkqT2+C2+goiR94sqvzu1bSbY8cQtxJd++DqI2T6Nrtzhvn4MhB7uV42ou7PN7MEJbUmOn714Qq0xkLAdQ==" saltValue="4PHKeyIgMPZ/ivfjg9ReqA=="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157</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74"/>
      <c r="C6" s="74"/>
      <c r="D6" s="74"/>
      <c r="E6" s="1"/>
    </row>
    <row r="7" spans="1:5" x14ac:dyDescent="0.25">
      <c r="A7" s="1"/>
      <c r="B7" s="1"/>
      <c r="C7" s="1"/>
      <c r="D7" s="1"/>
      <c r="E7" s="1"/>
    </row>
    <row r="8" spans="1:5" x14ac:dyDescent="0.25">
      <c r="A8" s="1"/>
      <c r="B8" s="33" t="s">
        <v>13</v>
      </c>
      <c r="C8" s="28"/>
      <c r="D8" s="19"/>
      <c r="E8" s="1"/>
    </row>
    <row r="9" spans="1:5" ht="15" customHeight="1" x14ac:dyDescent="0.25">
      <c r="A9" s="1"/>
      <c r="B9" s="29" t="s">
        <v>129</v>
      </c>
      <c r="C9" s="7">
        <f>'Fane 2.2. Økonomisk ramme 2026'!C14</f>
        <v>152627103.79590845</v>
      </c>
      <c r="D9" s="8" t="s">
        <v>3</v>
      </c>
      <c r="E9" s="1"/>
    </row>
    <row r="10" spans="1:5" ht="15" customHeight="1" x14ac:dyDescent="0.25">
      <c r="A10" s="1"/>
      <c r="B10" s="26" t="s">
        <v>19</v>
      </c>
      <c r="C10" s="7">
        <f>SUM(C9:C9)*'Fane 15. Nøgletal'!C10</f>
        <v>10119176.981668729</v>
      </c>
      <c r="D10" s="8" t="s">
        <v>3</v>
      </c>
      <c r="E10" s="1"/>
    </row>
    <row r="11" spans="1:5" ht="15" customHeight="1" x14ac:dyDescent="0.25">
      <c r="A11" s="1"/>
      <c r="B11" s="26" t="s">
        <v>10</v>
      </c>
      <c r="C11" s="9">
        <f>-SUM(C9:C10)*'Fane 5. Individuelt eff. krav'!C9</f>
        <v>-483313.55720119958</v>
      </c>
      <c r="D11" s="8" t="s">
        <v>3</v>
      </c>
      <c r="E11" s="1"/>
    </row>
    <row r="12" spans="1:5" ht="15" customHeight="1" x14ac:dyDescent="0.25">
      <c r="A12" s="1"/>
      <c r="B12" s="26" t="s">
        <v>22</v>
      </c>
      <c r="C12" s="9">
        <f>-'Fane 4.1. Gen. krav - drift'!C27</f>
        <v>-1288006.8558500526</v>
      </c>
      <c r="D12" s="8" t="s">
        <v>3</v>
      </c>
      <c r="E12" s="1"/>
    </row>
    <row r="13" spans="1:5" ht="15" customHeight="1" x14ac:dyDescent="0.25">
      <c r="A13" s="1"/>
      <c r="B13" s="26" t="s">
        <v>23</v>
      </c>
      <c r="C13" s="9">
        <f>-'Fane 4.2. Gen. krav - anlæg'!C27</f>
        <v>0</v>
      </c>
      <c r="D13" s="8" t="s">
        <v>3</v>
      </c>
      <c r="E13" s="1"/>
    </row>
    <row r="14" spans="1:5" x14ac:dyDescent="0.25">
      <c r="A14" s="1"/>
      <c r="B14" s="27" t="s">
        <v>21</v>
      </c>
      <c r="C14" s="10">
        <f>SUM(C9:C13)</f>
        <v>160974960.36452594</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Nøgletal'!C10)^2+'Fane 6. Ikke-påvirkelige omk.'!C27+'Fane 6. Ikke-påvirkelige omk.'!C35</f>
        <v>5684136.8007061891</v>
      </c>
      <c r="D16" s="11" t="s">
        <v>3</v>
      </c>
      <c r="E16" s="1"/>
    </row>
    <row r="17" spans="1:5" ht="15" customHeight="1" x14ac:dyDescent="0.25">
      <c r="A17" s="1"/>
      <c r="B17" s="33" t="s">
        <v>42</v>
      </c>
      <c r="C17" s="28"/>
      <c r="D17" s="19"/>
      <c r="E17" s="1"/>
    </row>
    <row r="18" spans="1:5" ht="15" customHeight="1" x14ac:dyDescent="0.25">
      <c r="A18" s="1"/>
      <c r="B18" s="82" t="s">
        <v>42</v>
      </c>
      <c r="C18" s="10">
        <f>'Fane 12. Periodevise driftsomk.'!C24</f>
        <v>2592629.9108535647</v>
      </c>
      <c r="D18" s="11" t="s">
        <v>3</v>
      </c>
      <c r="E18" s="1"/>
    </row>
    <row r="19" spans="1:5" ht="15" customHeight="1" x14ac:dyDescent="0.25">
      <c r="A19" s="1"/>
      <c r="B19" s="33" t="s">
        <v>69</v>
      </c>
      <c r="C19" s="28"/>
      <c r="D19" s="19"/>
      <c r="E19" s="1"/>
    </row>
    <row r="20" spans="1:5" ht="15" customHeight="1" x14ac:dyDescent="0.25">
      <c r="A20" s="1"/>
      <c r="B20" s="31" t="s">
        <v>79</v>
      </c>
      <c r="C20" s="10">
        <f>'Fane 7. Kontrol af ØR2023'!C33</f>
        <v>0</v>
      </c>
      <c r="D20" s="11" t="s">
        <v>3</v>
      </c>
      <c r="E20" s="1"/>
    </row>
    <row r="21" spans="1:5" x14ac:dyDescent="0.25">
      <c r="A21" s="1"/>
      <c r="B21" s="30" t="s">
        <v>75</v>
      </c>
      <c r="C21" s="28"/>
      <c r="D21" s="19"/>
      <c r="E21" s="1"/>
    </row>
    <row r="22" spans="1:5" x14ac:dyDescent="0.25">
      <c r="A22" s="1"/>
      <c r="B22" s="67" t="s">
        <v>76</v>
      </c>
      <c r="C22" s="10">
        <f>'Fane 8. Skattesagen'!C16</f>
        <v>0</v>
      </c>
      <c r="D22" s="11" t="s">
        <v>3</v>
      </c>
      <c r="E22" s="1"/>
    </row>
    <row r="23" spans="1:5" x14ac:dyDescent="0.25">
      <c r="A23" s="1"/>
      <c r="B23" s="33" t="s">
        <v>130</v>
      </c>
      <c r="C23" s="12">
        <f>SUM(C14,C16,C18,C20,C22)</f>
        <v>169251727.07608569</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63LzFDtjpx9PLsAEYMUdqy7Yj90dphFV+wBtkmdLVrRLxSgbiggaM8NIRdkYOplYAFdRYB2XprN8vB8veivCIg==" saltValue="mO5Wk81JH6kl39ORozI0fA=="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158</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74"/>
      <c r="C6" s="74"/>
      <c r="D6" s="74"/>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2.3. Økonomisk ramme 2027'!C14</f>
        <v>160974960.36452594</v>
      </c>
      <c r="D9" s="8" t="s">
        <v>3</v>
      </c>
      <c r="E9" s="1"/>
    </row>
    <row r="10" spans="1:5" ht="15" customHeight="1" x14ac:dyDescent="0.25">
      <c r="A10" s="1"/>
      <c r="B10" s="26" t="s">
        <v>19</v>
      </c>
      <c r="C10" s="7">
        <f>SUM(C9:C9)*'Fane 15. Nøgletal'!C10</f>
        <v>10672639.87216807</v>
      </c>
      <c r="D10" s="8" t="s">
        <v>3</v>
      </c>
      <c r="E10" s="1"/>
    </row>
    <row r="11" spans="1:5" ht="15" customHeight="1" x14ac:dyDescent="0.25">
      <c r="A11" s="1"/>
      <c r="B11" s="26" t="s">
        <v>10</v>
      </c>
      <c r="C11" s="9">
        <f>-SUM(C9:C10)*'Fane 5. Individuelt eff. krav'!C9</f>
        <v>-509748.12978261337</v>
      </c>
      <c r="D11" s="8" t="s">
        <v>3</v>
      </c>
      <c r="E11" s="1"/>
    </row>
    <row r="12" spans="1:5" ht="15" customHeight="1" x14ac:dyDescent="0.25">
      <c r="A12" s="1"/>
      <c r="B12" s="26" t="s">
        <v>22</v>
      </c>
      <c r="C12" s="9">
        <f>-'Fane 4.1. Gen. krav - drift'!C32</f>
        <v>-1345933.6761850526</v>
      </c>
      <c r="D12" s="8" t="s">
        <v>3</v>
      </c>
      <c r="E12" s="1"/>
    </row>
    <row r="13" spans="1:5" ht="15" customHeight="1" x14ac:dyDescent="0.25">
      <c r="A13" s="1"/>
      <c r="B13" s="26" t="s">
        <v>23</v>
      </c>
      <c r="C13" s="9">
        <f>-'Fane 4.2. Gen. krav - anlæg'!C32</f>
        <v>0</v>
      </c>
      <c r="D13" s="8" t="s">
        <v>3</v>
      </c>
      <c r="E13" s="1"/>
    </row>
    <row r="14" spans="1:5" ht="14.25" customHeight="1" x14ac:dyDescent="0.25">
      <c r="A14" s="1"/>
      <c r="B14" s="27" t="s">
        <v>21</v>
      </c>
      <c r="C14" s="10">
        <f>SUM(C9:C13)</f>
        <v>169791918.43072635</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Nøgletal'!C10)^3+'Fane 6. Ikke-påvirkelige omk.'!C28+'Fane 6. Ikke-påvirkelige omk.'!C36</f>
        <v>6060995.0705930097</v>
      </c>
      <c r="D16" s="11" t="s">
        <v>3</v>
      </c>
      <c r="E16" s="1"/>
    </row>
    <row r="17" spans="1:5" ht="15" customHeight="1" x14ac:dyDescent="0.25">
      <c r="A17" s="1"/>
      <c r="B17" s="33" t="s">
        <v>42</v>
      </c>
      <c r="C17" s="28"/>
      <c r="D17" s="19"/>
      <c r="E17" s="1"/>
    </row>
    <row r="18" spans="1:5" ht="15" customHeight="1" x14ac:dyDescent="0.25">
      <c r="A18" s="1"/>
      <c r="B18" s="82" t="s">
        <v>42</v>
      </c>
      <c r="C18" s="10">
        <f>'Fane 12. Periodevise driftsomk.'!C30</f>
        <v>2764521.2739431565</v>
      </c>
      <c r="D18" s="11" t="s">
        <v>3</v>
      </c>
      <c r="E18" s="1"/>
    </row>
    <row r="19" spans="1:5" x14ac:dyDescent="0.25">
      <c r="A19" s="1"/>
      <c r="B19" s="30" t="s">
        <v>75</v>
      </c>
      <c r="C19" s="28"/>
      <c r="D19" s="19"/>
      <c r="E19" s="1"/>
    </row>
    <row r="20" spans="1:5" x14ac:dyDescent="0.25">
      <c r="A20" s="1"/>
      <c r="B20" s="67" t="s">
        <v>76</v>
      </c>
      <c r="C20" s="10">
        <f>'Fane 8. Skattesagen'!C17</f>
        <v>0</v>
      </c>
      <c r="D20" s="11" t="s">
        <v>3</v>
      </c>
      <c r="E20" s="1"/>
    </row>
    <row r="21" spans="1:5" x14ac:dyDescent="0.25">
      <c r="A21" s="1"/>
      <c r="B21" s="33" t="s">
        <v>160</v>
      </c>
      <c r="C21" s="12">
        <f>SUM(C14,C16,C18,C20)</f>
        <v>178617434.7752625</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iXjZAx5KIFUAPLLflU7NUP0NAzdn9IcmMj5JJG35jdE1/s/o4Jki68o/a2S+tbPmCwAwe9MrJpipAVgy4C7Lw==" saltValue="EcHhYIKMNqy2+vRuNEvKFA=="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5"/>
  <sheetViews>
    <sheetView showGridLines="0" zoomScaleNormal="100" workbookViewId="0"/>
  </sheetViews>
  <sheetFormatPr defaultColWidth="0" defaultRowHeight="15" zeroHeight="1"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106" t="s">
        <v>161</v>
      </c>
      <c r="C3" s="106"/>
      <c r="D3" s="106"/>
      <c r="E3" s="1"/>
    </row>
    <row r="4" spans="1:5" ht="15" customHeight="1" x14ac:dyDescent="0.25">
      <c r="A4" s="1"/>
      <c r="B4" s="106"/>
      <c r="C4" s="106"/>
      <c r="D4" s="106"/>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162</v>
      </c>
      <c r="C8" s="28"/>
      <c r="D8" s="19"/>
      <c r="E8" s="1"/>
    </row>
    <row r="9" spans="1:5" ht="15" customHeight="1" x14ac:dyDescent="0.25">
      <c r="A9" s="1"/>
      <c r="B9" s="29" t="s">
        <v>64</v>
      </c>
      <c r="C9" s="7">
        <v>121669480.63220353</v>
      </c>
      <c r="D9" s="8" t="s">
        <v>3</v>
      </c>
      <c r="E9" s="1"/>
    </row>
    <row r="10" spans="1:5" ht="15" customHeight="1" x14ac:dyDescent="0.25">
      <c r="A10" s="1"/>
      <c r="B10" s="64" t="s">
        <v>35</v>
      </c>
      <c r="C10" s="7">
        <v>44175.538399999998</v>
      </c>
      <c r="D10" s="8" t="s">
        <v>3</v>
      </c>
      <c r="E10" s="1"/>
    </row>
    <row r="11" spans="1:5" ht="15" customHeight="1" x14ac:dyDescent="0.25">
      <c r="A11" s="1"/>
      <c r="B11" s="64" t="s">
        <v>36</v>
      </c>
      <c r="C11" s="9">
        <v>154921.872</v>
      </c>
      <c r="D11" s="8" t="s">
        <v>3</v>
      </c>
      <c r="E11" s="1"/>
    </row>
    <row r="12" spans="1:5" ht="15" customHeight="1" x14ac:dyDescent="0.25">
      <c r="A12" s="1"/>
      <c r="B12" s="64" t="s">
        <v>25</v>
      </c>
      <c r="C12" s="9">
        <v>0</v>
      </c>
      <c r="D12" s="8" t="s">
        <v>3</v>
      </c>
      <c r="E12" s="1"/>
    </row>
    <row r="13" spans="1:5" ht="15" customHeight="1" x14ac:dyDescent="0.25">
      <c r="A13" s="1"/>
      <c r="B13" s="64" t="s">
        <v>24</v>
      </c>
      <c r="C13" s="9">
        <v>0</v>
      </c>
      <c r="D13" s="8" t="s">
        <v>3</v>
      </c>
      <c r="E13" s="1"/>
    </row>
    <row r="14" spans="1:5" ht="15" customHeight="1" x14ac:dyDescent="0.25">
      <c r="A14" s="1"/>
      <c r="B14" s="64" t="s">
        <v>62</v>
      </c>
      <c r="C14" s="9">
        <v>0</v>
      </c>
      <c r="D14" s="8" t="s">
        <v>3</v>
      </c>
      <c r="E14" s="1"/>
    </row>
    <row r="15" spans="1:5" ht="15" customHeight="1" x14ac:dyDescent="0.25">
      <c r="A15" s="1"/>
      <c r="B15" s="64" t="s">
        <v>63</v>
      </c>
      <c r="C15" s="9">
        <v>0</v>
      </c>
      <c r="D15" s="8" t="s">
        <v>3</v>
      </c>
      <c r="E15" s="1"/>
    </row>
    <row r="16" spans="1:5" ht="15" customHeight="1" x14ac:dyDescent="0.25">
      <c r="A16" s="1"/>
      <c r="B16" s="64" t="s">
        <v>19</v>
      </c>
      <c r="C16" s="38">
        <v>9846981.1058423668</v>
      </c>
      <c r="D16" s="8" t="s">
        <v>3</v>
      </c>
      <c r="E16" s="1"/>
    </row>
    <row r="17" spans="1:5" ht="15" customHeight="1" x14ac:dyDescent="0.25">
      <c r="A17" s="1"/>
      <c r="B17" s="64" t="s">
        <v>10</v>
      </c>
      <c r="C17" s="38">
        <v>-391160.49304858403</v>
      </c>
      <c r="D17" s="8" t="s">
        <v>3</v>
      </c>
      <c r="E17" s="1"/>
    </row>
    <row r="18" spans="1:5" ht="15" customHeight="1" x14ac:dyDescent="0.25">
      <c r="A18" s="1"/>
      <c r="B18" s="64" t="s">
        <v>22</v>
      </c>
      <c r="C18" s="38">
        <v>-1086508.8822006041</v>
      </c>
      <c r="D18" s="8" t="s">
        <v>3</v>
      </c>
      <c r="E18" s="1"/>
    </row>
    <row r="19" spans="1:5" ht="15" customHeight="1" x14ac:dyDescent="0.25">
      <c r="A19" s="1"/>
      <c r="B19" s="64" t="s">
        <v>23</v>
      </c>
      <c r="C19" s="38">
        <v>0</v>
      </c>
      <c r="D19" s="8" t="s">
        <v>3</v>
      </c>
      <c r="E19" s="43"/>
    </row>
    <row r="20" spans="1:5" ht="15" customHeight="1" x14ac:dyDescent="0.25">
      <c r="A20" s="1"/>
      <c r="B20" s="82" t="s">
        <v>21</v>
      </c>
      <c r="C20" s="10">
        <v>130237889.77319671</v>
      </c>
      <c r="D20" s="11" t="s">
        <v>3</v>
      </c>
      <c r="E20" s="1"/>
    </row>
    <row r="21" spans="1:5" ht="15" customHeight="1" x14ac:dyDescent="0.25">
      <c r="A21" s="1"/>
      <c r="B21" s="33" t="s">
        <v>12</v>
      </c>
      <c r="C21" s="28"/>
      <c r="D21" s="19"/>
      <c r="E21" s="1"/>
    </row>
    <row r="22" spans="1:5" ht="15" customHeight="1" x14ac:dyDescent="0.25">
      <c r="A22" s="1"/>
      <c r="B22" s="31" t="s">
        <v>12</v>
      </c>
      <c r="C22" s="10">
        <v>4322282.2482950399</v>
      </c>
      <c r="D22" s="11" t="s">
        <v>3</v>
      </c>
      <c r="E22" s="1"/>
    </row>
    <row r="23" spans="1:5" ht="15" customHeight="1" x14ac:dyDescent="0.25">
      <c r="A23" s="1"/>
      <c r="B23" s="33" t="s">
        <v>42</v>
      </c>
      <c r="C23" s="28"/>
      <c r="D23" s="19"/>
      <c r="E23" s="1"/>
    </row>
    <row r="24" spans="1:5" ht="15" customHeight="1" x14ac:dyDescent="0.25">
      <c r="A24" s="1"/>
      <c r="B24" s="82" t="s">
        <v>42</v>
      </c>
      <c r="C24" s="10">
        <v>2262150.6331750015</v>
      </c>
      <c r="D24" s="11" t="s">
        <v>3</v>
      </c>
      <c r="E24" s="1"/>
    </row>
    <row r="25" spans="1:5" x14ac:dyDescent="0.25">
      <c r="A25" s="1"/>
      <c r="B25" s="41" t="s">
        <v>41</v>
      </c>
      <c r="C25" s="39"/>
      <c r="D25" s="40"/>
      <c r="E25" s="1"/>
    </row>
    <row r="26" spans="1:5" ht="15" customHeight="1" x14ac:dyDescent="0.25">
      <c r="A26" s="1"/>
      <c r="B26" s="64" t="s">
        <v>89</v>
      </c>
      <c r="C26" s="71">
        <v>0</v>
      </c>
      <c r="D26" s="8" t="s">
        <v>3</v>
      </c>
      <c r="E26" s="1"/>
    </row>
    <row r="27" spans="1:5" ht="15" customHeight="1" x14ac:dyDescent="0.25">
      <c r="A27" s="1"/>
      <c r="B27" s="64" t="s">
        <v>38</v>
      </c>
      <c r="C27" s="71">
        <v>0</v>
      </c>
      <c r="D27" s="8" t="s">
        <v>3</v>
      </c>
      <c r="E27" s="1"/>
    </row>
    <row r="28" spans="1:5" ht="15" customHeight="1" x14ac:dyDescent="0.25">
      <c r="A28" s="1"/>
      <c r="B28" s="64" t="s">
        <v>92</v>
      </c>
      <c r="C28" s="71">
        <v>0</v>
      </c>
      <c r="D28" s="8" t="s">
        <v>3</v>
      </c>
      <c r="E28" s="1"/>
    </row>
    <row r="29" spans="1:5" ht="15" customHeight="1" x14ac:dyDescent="0.25">
      <c r="A29" s="1"/>
      <c r="B29" s="64" t="s">
        <v>93</v>
      </c>
      <c r="C29" s="71">
        <v>0</v>
      </c>
      <c r="D29" s="8" t="s">
        <v>3</v>
      </c>
      <c r="E29" s="1"/>
    </row>
    <row r="30" spans="1:5" ht="15" customHeight="1" x14ac:dyDescent="0.25">
      <c r="A30" s="1"/>
      <c r="B30" s="67" t="s">
        <v>43</v>
      </c>
      <c r="C30" s="10">
        <v>0</v>
      </c>
      <c r="D30" s="11" t="s">
        <v>3</v>
      </c>
      <c r="E30" s="1"/>
    </row>
    <row r="31" spans="1:5" ht="15" customHeight="1" x14ac:dyDescent="0.25">
      <c r="A31" s="1"/>
      <c r="B31" s="33" t="s">
        <v>69</v>
      </c>
      <c r="C31" s="28"/>
      <c r="D31" s="19"/>
      <c r="E31" s="1"/>
    </row>
    <row r="32" spans="1:5" ht="15" customHeight="1" x14ac:dyDescent="0.25">
      <c r="A32" s="1"/>
      <c r="B32" s="31" t="s">
        <v>79</v>
      </c>
      <c r="C32" s="10">
        <v>-2382316</v>
      </c>
      <c r="D32" s="11" t="s">
        <v>3</v>
      </c>
      <c r="E32" s="1"/>
    </row>
    <row r="33" spans="1:5" x14ac:dyDescent="0.25">
      <c r="A33" s="1"/>
      <c r="B33" s="33" t="s">
        <v>128</v>
      </c>
      <c r="C33" s="28"/>
      <c r="D33" s="19"/>
      <c r="E33" s="1"/>
    </row>
    <row r="34" spans="1:5" ht="15.4" customHeight="1" x14ac:dyDescent="0.25">
      <c r="A34" s="1"/>
      <c r="B34" s="31" t="s">
        <v>128</v>
      </c>
      <c r="C34" s="10">
        <v>-3609495.1290855831</v>
      </c>
      <c r="D34" s="11" t="s">
        <v>3</v>
      </c>
      <c r="E34" s="1"/>
    </row>
    <row r="35" spans="1:5" ht="15.4" customHeight="1" x14ac:dyDescent="0.25">
      <c r="A35" s="1"/>
      <c r="B35" s="30" t="s">
        <v>75</v>
      </c>
      <c r="C35" s="28"/>
      <c r="D35" s="19"/>
      <c r="E35" s="1"/>
    </row>
    <row r="36" spans="1:5" x14ac:dyDescent="0.25">
      <c r="A36" s="1"/>
      <c r="B36" s="67" t="s">
        <v>76</v>
      </c>
      <c r="C36" s="10">
        <v>0</v>
      </c>
      <c r="D36" s="11" t="s">
        <v>3</v>
      </c>
      <c r="E36" s="1"/>
    </row>
    <row r="37" spans="1:5" x14ac:dyDescent="0.25">
      <c r="A37" s="1"/>
      <c r="B37" s="33" t="s">
        <v>65</v>
      </c>
      <c r="C37" s="45">
        <v>130830511.52558117</v>
      </c>
      <c r="D37" s="30" t="s">
        <v>3</v>
      </c>
      <c r="E37" s="1"/>
    </row>
    <row r="38" spans="1:5" ht="30" customHeight="1" x14ac:dyDescent="0.25">
      <c r="A38" s="1"/>
      <c r="B38" s="107" t="s">
        <v>223</v>
      </c>
      <c r="C38" s="107"/>
      <c r="D38" s="107"/>
      <c r="E38" s="1"/>
    </row>
    <row r="39" spans="1:5" x14ac:dyDescent="0.25">
      <c r="A39" s="1"/>
      <c r="B39" s="1"/>
      <c r="C39" s="1"/>
      <c r="D39" s="1"/>
      <c r="E39" s="1"/>
    </row>
    <row r="40" spans="1:5" ht="27" customHeight="1"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ht="14.25" customHeight="1"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s="56" customFormat="1" hidden="1" x14ac:dyDescent="0.25"/>
    <row r="50" spans="1:5" s="56" customFormat="1" hidden="1" x14ac:dyDescent="0.25"/>
    <row r="51" spans="1:5" s="56" customFormat="1" hidden="1" x14ac:dyDescent="0.25"/>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sheetData>
  <sheetProtection algorithmName="SHA-512" hashValue="ckHR8py6QQze5++G6Rh3X6pQwwhHbEWEHe1zKucMy0LYUu9Fri7kuViF0K5jk/Mjmc6JXmr+t1PxGytUm3LBOg==" saltValue="wefwAfOkQcskzKttb2EqGw==" spinCount="100000" sheet="1" objects="1" scenarios="1"/>
  <mergeCells count="2">
    <mergeCell ref="B3:D4"/>
    <mergeCell ref="B38:D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42578125" style="2" customWidth="1"/>
    <col min="5" max="5" width="5.28515625" style="2" customWidth="1"/>
    <col min="6" max="16384" width="9.140625" style="2" hidden="1"/>
  </cols>
  <sheetData>
    <row r="1" spans="1:5" ht="15" customHeight="1" x14ac:dyDescent="0.25">
      <c r="A1" s="1"/>
      <c r="B1" s="35"/>
      <c r="C1" s="35"/>
      <c r="D1" s="35"/>
      <c r="E1" s="1"/>
    </row>
    <row r="2" spans="1:5" ht="15" customHeight="1" x14ac:dyDescent="0.25">
      <c r="A2" s="1"/>
      <c r="B2" s="35"/>
      <c r="C2" s="35"/>
      <c r="D2" s="35"/>
      <c r="E2" s="1"/>
    </row>
    <row r="3" spans="1:5" ht="15" customHeight="1" x14ac:dyDescent="0.25">
      <c r="A3" s="1"/>
      <c r="B3" s="106" t="s">
        <v>56</v>
      </c>
      <c r="C3" s="106"/>
      <c r="D3" s="106"/>
      <c r="E3" s="1"/>
    </row>
    <row r="4" spans="1:5" ht="15" customHeight="1" x14ac:dyDescent="0.25">
      <c r="A4" s="1"/>
      <c r="B4" s="106"/>
      <c r="C4" s="106"/>
      <c r="D4" s="106"/>
      <c r="E4" s="1"/>
    </row>
    <row r="5" spans="1:5" ht="15" customHeight="1" x14ac:dyDescent="0.25">
      <c r="A5" s="1"/>
      <c r="B5" s="106"/>
      <c r="C5" s="106"/>
      <c r="D5" s="106"/>
      <c r="E5" s="1"/>
    </row>
    <row r="6" spans="1:5" ht="15" customHeight="1" x14ac:dyDescent="0.25">
      <c r="A6" s="1"/>
      <c r="B6" s="75"/>
      <c r="C6" s="75"/>
      <c r="D6" s="75"/>
      <c r="E6" s="1"/>
    </row>
    <row r="7" spans="1:5" x14ac:dyDescent="0.25">
      <c r="A7" s="1"/>
      <c r="B7" s="1"/>
      <c r="C7" s="1"/>
      <c r="D7" s="1"/>
      <c r="E7" s="1"/>
    </row>
    <row r="8" spans="1:5" x14ac:dyDescent="0.25">
      <c r="A8" s="1"/>
      <c r="B8" s="108" t="s">
        <v>123</v>
      </c>
      <c r="C8" s="109"/>
      <c r="D8" s="110"/>
      <c r="E8" s="1"/>
    </row>
    <row r="9" spans="1:5" x14ac:dyDescent="0.25">
      <c r="A9" s="1"/>
      <c r="B9" s="65" t="s">
        <v>88</v>
      </c>
      <c r="C9" s="23">
        <v>54277699.188127488</v>
      </c>
      <c r="D9" s="14" t="s">
        <v>3</v>
      </c>
      <c r="E9" s="1"/>
    </row>
    <row r="10" spans="1:5" x14ac:dyDescent="0.25">
      <c r="A10" s="1"/>
      <c r="B10" s="65" t="s">
        <v>125</v>
      </c>
      <c r="C10" s="23">
        <f>('Fane 3. Omkostninger i ØR2024'!C10+'Fane 3. Omkostninger i ØR2024'!C12+'Fane 3. Omkostninger i ØR2024'!C14)*(1+'Fane 15. Nøgletal'!C9)</f>
        <v>47744.921902719994</v>
      </c>
      <c r="D10" s="14" t="s">
        <v>3</v>
      </c>
      <c r="E10" s="1"/>
    </row>
    <row r="11" spans="1:5" x14ac:dyDescent="0.25">
      <c r="A11" s="1"/>
      <c r="B11" s="65" t="s">
        <v>131</v>
      </c>
      <c r="C11" s="23">
        <f>C9*'Fane 15. Nøgletal'!C21+C10*'Fane 15. Nøgletal'!C21</f>
        <v>1086508.8822006041</v>
      </c>
      <c r="D11" s="14" t="s">
        <v>3</v>
      </c>
      <c r="E11" s="1"/>
    </row>
    <row r="12" spans="1:5" x14ac:dyDescent="0.25">
      <c r="A12" s="1"/>
      <c r="B12" s="33"/>
      <c r="C12" s="28"/>
      <c r="D12" s="19"/>
      <c r="E12" s="1"/>
    </row>
    <row r="13" spans="1:5" x14ac:dyDescent="0.25">
      <c r="A13" s="1"/>
      <c r="B13" s="1"/>
      <c r="C13" s="1"/>
      <c r="D13" s="1"/>
      <c r="E13" s="1"/>
    </row>
    <row r="14" spans="1:5" x14ac:dyDescent="0.25">
      <c r="A14" s="1"/>
      <c r="B14" s="108" t="s">
        <v>124</v>
      </c>
      <c r="C14" s="109"/>
      <c r="D14" s="110"/>
      <c r="E14" s="1"/>
    </row>
    <row r="15" spans="1:5" x14ac:dyDescent="0.25">
      <c r="A15" s="1"/>
      <c r="B15" s="65" t="s">
        <v>133</v>
      </c>
      <c r="C15" s="23">
        <f>(C9+C10-C11)*(1+'Fane 15. Nøgletal'!C9)</f>
        <v>57540641.194238238</v>
      </c>
      <c r="D15" s="14" t="s">
        <v>3</v>
      </c>
      <c r="E15" s="1"/>
    </row>
    <row r="16" spans="1:5" x14ac:dyDescent="0.25">
      <c r="A16" s="1"/>
      <c r="B16" s="65" t="s">
        <v>184</v>
      </c>
      <c r="C16" s="23">
        <f>('Fane 2.1. Økonomisk ramme 2025'!C10+'Fane 2.1. Økonomisk ramme 2025'!C12+'Fane 2.1. Økonomisk ramme 2025'!C14)*(1+'Fane 15. Nøgletal'!C10)</f>
        <v>1435616.2380216001</v>
      </c>
      <c r="D16" s="14" t="s">
        <v>3</v>
      </c>
      <c r="E16" s="1"/>
    </row>
    <row r="17" spans="1:5" x14ac:dyDescent="0.25">
      <c r="A17" s="1"/>
      <c r="B17" s="65" t="s">
        <v>132</v>
      </c>
      <c r="C17" s="23">
        <f>C15*'Fane 15. Nøgletal'!C21+C16*'Fane 15. Nøgletal'!C21</f>
        <v>1179525.1486451966</v>
      </c>
      <c r="D17" s="14" t="s">
        <v>3</v>
      </c>
      <c r="E17" s="1"/>
    </row>
    <row r="18" spans="1:5" x14ac:dyDescent="0.25">
      <c r="A18" s="1"/>
      <c r="B18" s="33"/>
      <c r="C18" s="28"/>
      <c r="D18" s="19"/>
      <c r="E18" s="1"/>
    </row>
    <row r="19" spans="1:5" x14ac:dyDescent="0.25">
      <c r="A19" s="1"/>
      <c r="B19" s="1"/>
      <c r="C19" s="63"/>
      <c r="D19" s="1"/>
      <c r="E19" s="1"/>
    </row>
    <row r="20" spans="1:5" x14ac:dyDescent="0.25">
      <c r="A20" s="1"/>
      <c r="B20" s="108" t="s">
        <v>145</v>
      </c>
      <c r="C20" s="109"/>
      <c r="D20" s="110"/>
      <c r="E20" s="1"/>
    </row>
    <row r="21" spans="1:5" x14ac:dyDescent="0.25">
      <c r="A21" s="1"/>
      <c r="B21" s="65" t="s">
        <v>189</v>
      </c>
      <c r="C21" s="23">
        <f>(C15+C16-C17)*(1+'Fane 15. Nøgletal'!C10)</f>
        <v>61628655.634018287</v>
      </c>
      <c r="D21" s="14" t="s">
        <v>3</v>
      </c>
      <c r="E21" s="1"/>
    </row>
    <row r="22" spans="1:5" x14ac:dyDescent="0.25">
      <c r="A22" s="1"/>
      <c r="B22" s="65" t="s">
        <v>196</v>
      </c>
      <c r="C22" s="23">
        <f>C21*'Fane 15. Nøgletal'!C21</f>
        <v>1232573.1126803658</v>
      </c>
      <c r="D22" s="14" t="s">
        <v>3</v>
      </c>
      <c r="E22" s="1"/>
    </row>
    <row r="23" spans="1:5" x14ac:dyDescent="0.25">
      <c r="A23" s="1"/>
      <c r="B23" s="33"/>
      <c r="C23" s="28"/>
      <c r="D23" s="19"/>
      <c r="E23" s="1"/>
    </row>
    <row r="24" spans="1:5" x14ac:dyDescent="0.25">
      <c r="A24" s="1"/>
      <c r="B24" s="1"/>
      <c r="C24" s="1"/>
      <c r="D24" s="1"/>
      <c r="E24" s="1"/>
    </row>
    <row r="25" spans="1:5" x14ac:dyDescent="0.25">
      <c r="A25" s="1"/>
      <c r="B25" s="108" t="s">
        <v>187</v>
      </c>
      <c r="C25" s="109"/>
      <c r="D25" s="110"/>
      <c r="E25" s="1"/>
    </row>
    <row r="26" spans="1:5" x14ac:dyDescent="0.25">
      <c r="A26" s="1"/>
      <c r="B26" s="65" t="s">
        <v>190</v>
      </c>
      <c r="C26" s="23">
        <f>(C21-C22)*(1+'Fane 15. Nøgletal'!C10)</f>
        <v>64400342.792502627</v>
      </c>
      <c r="D26" s="14" t="s">
        <v>3</v>
      </c>
      <c r="E26" s="1"/>
    </row>
    <row r="27" spans="1:5" x14ac:dyDescent="0.25">
      <c r="A27" s="1"/>
      <c r="B27" s="65" t="s">
        <v>194</v>
      </c>
      <c r="C27" s="23">
        <f>C26*'Fane 15. Nøgletal'!C21</f>
        <v>1288006.8558500526</v>
      </c>
      <c r="D27" s="14" t="s">
        <v>3</v>
      </c>
      <c r="E27" s="1"/>
    </row>
    <row r="28" spans="1:5" x14ac:dyDescent="0.25">
      <c r="A28" s="1"/>
      <c r="B28" s="33"/>
      <c r="C28" s="28"/>
      <c r="D28" s="19"/>
      <c r="E28" s="1"/>
    </row>
    <row r="29" spans="1:5" x14ac:dyDescent="0.25">
      <c r="A29" s="1"/>
      <c r="B29" s="1"/>
      <c r="C29" s="1"/>
      <c r="D29" s="1"/>
      <c r="E29" s="1"/>
    </row>
    <row r="30" spans="1:5" x14ac:dyDescent="0.25">
      <c r="A30" s="1"/>
      <c r="B30" s="108" t="s">
        <v>188</v>
      </c>
      <c r="C30" s="109"/>
      <c r="D30" s="110"/>
      <c r="E30" s="1"/>
    </row>
    <row r="31" spans="1:5" x14ac:dyDescent="0.25">
      <c r="A31" s="1"/>
      <c r="B31" s="65" t="s">
        <v>191</v>
      </c>
      <c r="C31" s="23">
        <f>(C26-C27)*(1+'Fane 15. Nøgletal'!C10)</f>
        <v>67296683.809252635</v>
      </c>
      <c r="D31" s="14" t="s">
        <v>3</v>
      </c>
      <c r="E31" s="1"/>
    </row>
    <row r="32" spans="1:5" x14ac:dyDescent="0.25">
      <c r="A32" s="1"/>
      <c r="B32" s="65" t="s">
        <v>195</v>
      </c>
      <c r="C32" s="23">
        <f>C31*'Fane 15. Nøgletal'!C21</f>
        <v>1345933.6761850526</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vBVIHKPKd58XPRWstYBi5UwuuQWvGHIMiEceqMJihBL9clMbSvl6VIm0Q/VJBThN9ipjuc0sgOzlCjpcnuuenQ==" saltValue="VRxssOivwdfanNkWyLXr1w==" spinCount="100000" sheet="1" objects="1" scenarios="1"/>
  <mergeCells count="6">
    <mergeCell ref="B3:D5"/>
    <mergeCell ref="B30:D30"/>
    <mergeCell ref="B20:D20"/>
    <mergeCell ref="B14:D14"/>
    <mergeCell ref="B8:D8"/>
    <mergeCell ref="B25:D25"/>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49"/>
  <sheetViews>
    <sheetView showGridLines="0" zoomScaleNormal="100" workbookViewId="0"/>
  </sheetViews>
  <sheetFormatPr defaultColWidth="0" defaultRowHeight="15" zeroHeight="1" x14ac:dyDescent="0.25"/>
  <cols>
    <col min="1" max="1" width="5.28515625" style="2" customWidth="1"/>
    <col min="2" max="2" width="58.140625" style="2" customWidth="1"/>
    <col min="3" max="3" width="11.7109375" style="2" customWidth="1"/>
    <col min="4" max="4" width="3.140625" style="2" customWidth="1"/>
    <col min="5" max="5" width="5.28515625" style="2" customWidth="1"/>
    <col min="6" max="16384" width="9.140625" style="2" hidden="1"/>
  </cols>
  <sheetData>
    <row r="1" spans="1:5" ht="14.25" customHeight="1" x14ac:dyDescent="0.35">
      <c r="A1" s="1"/>
      <c r="B1" s="69"/>
      <c r="C1" s="69"/>
      <c r="D1" s="69"/>
      <c r="E1" s="1"/>
    </row>
    <row r="2" spans="1:5" ht="15" customHeight="1" x14ac:dyDescent="0.35">
      <c r="A2" s="1"/>
      <c r="B2" s="69"/>
      <c r="C2" s="69"/>
      <c r="D2" s="69"/>
      <c r="E2" s="1"/>
    </row>
    <row r="3" spans="1:5" ht="15" customHeight="1" x14ac:dyDescent="0.25">
      <c r="A3" s="1"/>
      <c r="B3" s="111" t="s">
        <v>57</v>
      </c>
      <c r="C3" s="111"/>
      <c r="D3" s="111"/>
      <c r="E3" s="1"/>
    </row>
    <row r="4" spans="1:5" ht="15" customHeight="1" x14ac:dyDescent="0.25">
      <c r="A4" s="1"/>
      <c r="B4" s="111"/>
      <c r="C4" s="111"/>
      <c r="D4" s="111"/>
      <c r="E4" s="1"/>
    </row>
    <row r="5" spans="1:5" ht="15" customHeight="1" x14ac:dyDescent="0.25">
      <c r="A5" s="1"/>
      <c r="B5" s="111"/>
      <c r="C5" s="111"/>
      <c r="D5" s="111"/>
      <c r="E5" s="1"/>
    </row>
    <row r="6" spans="1:5" ht="15" customHeight="1" x14ac:dyDescent="0.35">
      <c r="A6" s="1"/>
      <c r="B6" s="69"/>
      <c r="C6" s="69"/>
      <c r="D6" s="69"/>
      <c r="E6" s="1"/>
    </row>
    <row r="7" spans="1:5" x14ac:dyDescent="0.25">
      <c r="A7" s="1"/>
      <c r="B7" s="1"/>
      <c r="C7" s="1"/>
      <c r="D7" s="1"/>
      <c r="E7" s="1"/>
    </row>
    <row r="8" spans="1:5" x14ac:dyDescent="0.25">
      <c r="A8" s="1"/>
      <c r="B8" s="108" t="s">
        <v>147</v>
      </c>
      <c r="C8" s="109"/>
      <c r="D8" s="110"/>
      <c r="E8" s="1"/>
    </row>
    <row r="9" spans="1:5" x14ac:dyDescent="0.25">
      <c r="A9" s="1"/>
      <c r="B9" s="65" t="s">
        <v>134</v>
      </c>
      <c r="C9" s="23">
        <v>84651299.648701668</v>
      </c>
      <c r="D9" s="14" t="s">
        <v>3</v>
      </c>
      <c r="E9" s="1"/>
    </row>
    <row r="10" spans="1:5" x14ac:dyDescent="0.25">
      <c r="A10" s="1"/>
      <c r="B10" s="65" t="s">
        <v>126</v>
      </c>
      <c r="C10" s="23">
        <f>('Fane 3. Omkostninger i ØR2024'!C11+'Fane 3. Omkostninger i ØR2024'!C13+'Fane 3. Omkostninger i ØR2024'!C15)*(1+'Fane 15. Nøgletal'!C9)</f>
        <v>167439.55925759999</v>
      </c>
      <c r="D10" s="14" t="s">
        <v>3</v>
      </c>
      <c r="E10" s="1"/>
    </row>
    <row r="11" spans="1:5" x14ac:dyDescent="0.25">
      <c r="A11" s="1"/>
      <c r="B11" s="65" t="s">
        <v>135</v>
      </c>
      <c r="C11" s="23">
        <f>SUM(C9:C10)*'Fane 15. Nøgletal'!C15</f>
        <v>0</v>
      </c>
      <c r="D11" s="14" t="s">
        <v>3</v>
      </c>
      <c r="E11" s="1"/>
    </row>
    <row r="12" spans="1:5" x14ac:dyDescent="0.25">
      <c r="A12" s="1"/>
      <c r="B12" s="33"/>
      <c r="C12" s="28"/>
      <c r="D12" s="19"/>
      <c r="E12" s="1"/>
    </row>
    <row r="13" spans="1:5" x14ac:dyDescent="0.25">
      <c r="A13" s="1"/>
      <c r="B13" s="1"/>
      <c r="C13" s="1"/>
      <c r="D13" s="1"/>
      <c r="E13" s="1"/>
    </row>
    <row r="14" spans="1:5" x14ac:dyDescent="0.25">
      <c r="A14" s="1"/>
      <c r="B14" s="108" t="s">
        <v>146</v>
      </c>
      <c r="C14" s="109"/>
      <c r="D14" s="110"/>
      <c r="E14" s="1"/>
    </row>
    <row r="15" spans="1:5" x14ac:dyDescent="0.25">
      <c r="A15" s="1"/>
      <c r="B15" s="65" t="s">
        <v>136</v>
      </c>
      <c r="C15" s="23">
        <f>(C9+C10-C11)*(1+'Fane 15. Nøgletal'!C9)</f>
        <v>91672093.33596237</v>
      </c>
      <c r="D15" s="14" t="s">
        <v>3</v>
      </c>
      <c r="E15" s="1"/>
    </row>
    <row r="16" spans="1:5" x14ac:dyDescent="0.25">
      <c r="A16" s="1"/>
      <c r="B16" s="65" t="s">
        <v>185</v>
      </c>
      <c r="C16" s="23">
        <f>('Fane 2.1. Økonomisk ramme 2025'!C11+'Fane 2.1. Økonomisk ramme 2025'!C13+'Fane 2.1. Økonomisk ramme 2025'!C15)*(1+'Fane 15. Nøgletal'!C10)</f>
        <v>4140216.3107168502</v>
      </c>
      <c r="D16" s="14" t="s">
        <v>3</v>
      </c>
      <c r="E16" s="1"/>
    </row>
    <row r="17" spans="1:5" x14ac:dyDescent="0.25">
      <c r="A17" s="1"/>
      <c r="B17" s="65" t="s">
        <v>137</v>
      </c>
      <c r="C17" s="23">
        <f>(C15)*'Fane 15. Nøgletal'!C15+C16*'Fane 15. Nøgletal'!C16</f>
        <v>0</v>
      </c>
      <c r="D17" s="14" t="s">
        <v>3</v>
      </c>
      <c r="E17" s="1"/>
    </row>
    <row r="18" spans="1:5" x14ac:dyDescent="0.25">
      <c r="A18" s="1"/>
      <c r="B18" s="33"/>
      <c r="C18" s="28"/>
      <c r="D18" s="19"/>
      <c r="E18" s="1"/>
    </row>
    <row r="19" spans="1:5" x14ac:dyDescent="0.25">
      <c r="A19" s="1"/>
      <c r="B19" s="1"/>
      <c r="C19" s="1"/>
      <c r="D19" s="1"/>
      <c r="E19" s="1"/>
    </row>
    <row r="20" spans="1:5" x14ac:dyDescent="0.25">
      <c r="A20" s="1"/>
      <c r="B20" s="108" t="s">
        <v>82</v>
      </c>
      <c r="C20" s="109"/>
      <c r="D20" s="110"/>
      <c r="E20" s="1"/>
    </row>
    <row r="21" spans="1:5" x14ac:dyDescent="0.25">
      <c r="A21" s="1"/>
      <c r="B21" s="65" t="s">
        <v>192</v>
      </c>
      <c r="C21" s="23">
        <f>(C15+C16-C17)*(1+'Fane 15. Nøgletal'!C10)</f>
        <v>102164665.77625406</v>
      </c>
      <c r="D21" s="14" t="s">
        <v>3</v>
      </c>
      <c r="E21" s="1"/>
    </row>
    <row r="22" spans="1:5" x14ac:dyDescent="0.25">
      <c r="A22" s="1"/>
      <c r="B22" s="65" t="s">
        <v>197</v>
      </c>
      <c r="C22" s="23">
        <f>C21*'Fane 15. Nøgletal'!C16</f>
        <v>0</v>
      </c>
      <c r="D22" s="14" t="s">
        <v>3</v>
      </c>
      <c r="E22" s="1"/>
    </row>
    <row r="23" spans="1:5" x14ac:dyDescent="0.25">
      <c r="A23" s="1"/>
      <c r="B23" s="33"/>
      <c r="C23" s="28"/>
      <c r="D23" s="19"/>
      <c r="E23" s="1"/>
    </row>
    <row r="24" spans="1:5" x14ac:dyDescent="0.25">
      <c r="A24" s="1"/>
      <c r="B24" s="1"/>
      <c r="C24" s="1"/>
      <c r="D24" s="1"/>
      <c r="E24" s="1"/>
    </row>
    <row r="25" spans="1:5" x14ac:dyDescent="0.25">
      <c r="A25" s="1"/>
      <c r="B25" s="108" t="s">
        <v>138</v>
      </c>
      <c r="C25" s="109"/>
      <c r="D25" s="110"/>
      <c r="E25" s="1"/>
    </row>
    <row r="26" spans="1:5" x14ac:dyDescent="0.25">
      <c r="A26" s="1"/>
      <c r="B26" s="65" t="s">
        <v>193</v>
      </c>
      <c r="C26" s="23">
        <f>(C21-C22)*(1+'Fane 15. Nøgletal'!C10)</f>
        <v>108938183.1172197</v>
      </c>
      <c r="D26" s="14" t="s">
        <v>3</v>
      </c>
      <c r="E26" s="1"/>
    </row>
    <row r="27" spans="1:5" x14ac:dyDescent="0.25">
      <c r="A27" s="1"/>
      <c r="B27" s="65" t="s">
        <v>198</v>
      </c>
      <c r="C27" s="23">
        <f>C26*'Fane 15. Nøgletal'!C16</f>
        <v>0</v>
      </c>
      <c r="D27" s="14" t="s">
        <v>3</v>
      </c>
      <c r="E27" s="1"/>
    </row>
    <row r="28" spans="1:5" x14ac:dyDescent="0.25">
      <c r="A28" s="1"/>
      <c r="B28" s="33"/>
      <c r="C28" s="28"/>
      <c r="D28" s="19"/>
      <c r="E28" s="1"/>
    </row>
    <row r="29" spans="1:5" x14ac:dyDescent="0.25">
      <c r="A29" s="1"/>
      <c r="B29" s="1"/>
      <c r="C29" s="1"/>
      <c r="D29" s="1"/>
      <c r="E29" s="1"/>
    </row>
    <row r="30" spans="1:5" x14ac:dyDescent="0.25">
      <c r="A30" s="1"/>
      <c r="B30" s="108" t="s">
        <v>163</v>
      </c>
      <c r="C30" s="109"/>
      <c r="D30" s="110"/>
      <c r="E30" s="1"/>
    </row>
    <row r="31" spans="1:5" x14ac:dyDescent="0.25">
      <c r="A31" s="1"/>
      <c r="B31" s="65" t="s">
        <v>200</v>
      </c>
      <c r="C31" s="23">
        <f>(C26-C27)*(1+'Fane 15. Nøgletal'!C10)</f>
        <v>116160784.65789138</v>
      </c>
      <c r="D31" s="14" t="s">
        <v>3</v>
      </c>
      <c r="E31" s="1"/>
    </row>
    <row r="32" spans="1:5" x14ac:dyDescent="0.25">
      <c r="A32" s="1"/>
      <c r="B32" s="65" t="s">
        <v>199</v>
      </c>
      <c r="C32" s="23">
        <f>C31*'Fane 15. Nøgletal'!C16</f>
        <v>0</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y994yZBZbt+JGD4Worv6LBx5g2FDk/GSkEFQqOCiz/jZJzO7MRYi6i0tljhMZYfGXA0uLPsNYraPDGV321ajrQ==" saltValue="GIK08YXLQvVmw2NOfauOXA==" spinCount="100000" sheet="1" objects="1" scenarios="1"/>
  <mergeCells count="6">
    <mergeCell ref="B3:D5"/>
    <mergeCell ref="B30:D30"/>
    <mergeCell ref="B25:D25"/>
    <mergeCell ref="B8:D8"/>
    <mergeCell ref="B14:D14"/>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D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4" t="s">
        <v>44</v>
      </c>
      <c r="C3" s="104"/>
      <c r="D3" s="1"/>
    </row>
    <row r="4" spans="1:4" ht="15" customHeight="1" x14ac:dyDescent="0.25">
      <c r="A4" s="1"/>
      <c r="B4" s="104"/>
      <c r="C4" s="10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08" t="s">
        <v>10</v>
      </c>
      <c r="C8" s="110"/>
      <c r="D8" s="1"/>
    </row>
    <row r="9" spans="1:4" x14ac:dyDescent="0.25">
      <c r="A9" s="1"/>
      <c r="B9" s="65" t="s">
        <v>164</v>
      </c>
      <c r="C9" s="22">
        <v>2.9697364197326065E-3</v>
      </c>
      <c r="D9" s="1"/>
    </row>
    <row r="10" spans="1:4" x14ac:dyDescent="0.25">
      <c r="A10" s="1"/>
      <c r="B10" s="33"/>
      <c r="C10" s="19"/>
      <c r="D10" s="1"/>
    </row>
    <row r="11" spans="1:4" x14ac:dyDescent="0.25">
      <c r="A11" s="1"/>
      <c r="B11" s="112" t="s">
        <v>218</v>
      </c>
      <c r="C11" s="113"/>
      <c r="D11" s="1"/>
    </row>
    <row r="12" spans="1:4" x14ac:dyDescent="0.25">
      <c r="A12" s="1"/>
      <c r="B12" s="114"/>
      <c r="C12" s="115"/>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sheetData>
  <sheetProtection algorithmName="SHA-512" hashValue="jLE2tp5Qg/klTao+jSNJw6Vfcgv3d+OHBHXqzb/tPNeWJdpnZqLW4BHSvqgKme69s47o77LJ7X5GRBsYQBELzQ==" saltValue="jZRZHNjZb0nZ0l4tq520Ow==" spinCount="100000" sheet="1" objects="1" scenarios="1"/>
  <mergeCells count="3">
    <mergeCell ref="B3:C4"/>
    <mergeCell ref="B8:C8"/>
    <mergeCell ref="B11: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58</v>
      </c>
      <c r="C3" s="104"/>
      <c r="D3" s="104"/>
      <c r="E3" s="1"/>
    </row>
    <row r="4" spans="1:5" ht="15" customHeight="1" x14ac:dyDescent="0.25">
      <c r="A4" s="1"/>
      <c r="B4" s="104"/>
      <c r="C4" s="104"/>
      <c r="D4" s="10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08" t="s">
        <v>165</v>
      </c>
      <c r="C8" s="109"/>
      <c r="D8" s="110"/>
      <c r="E8" s="1"/>
    </row>
    <row r="9" spans="1:5" ht="15" customHeight="1" x14ac:dyDescent="0.25">
      <c r="A9" s="1"/>
      <c r="B9" s="27" t="s">
        <v>28</v>
      </c>
      <c r="C9" s="67" t="s">
        <v>166</v>
      </c>
      <c r="D9" s="11"/>
      <c r="E9" s="1"/>
    </row>
    <row r="10" spans="1:5" ht="15" customHeight="1" x14ac:dyDescent="0.25">
      <c r="A10" s="1"/>
      <c r="B10" s="72" t="s">
        <v>227</v>
      </c>
      <c r="C10" s="73">
        <v>2141485</v>
      </c>
      <c r="D10" s="14" t="s">
        <v>3</v>
      </c>
      <c r="E10" s="1"/>
    </row>
    <row r="11" spans="1:5" ht="15" customHeight="1" x14ac:dyDescent="0.25">
      <c r="A11" s="1"/>
      <c r="B11" s="72" t="s">
        <v>228</v>
      </c>
      <c r="C11" s="73">
        <v>125300</v>
      </c>
      <c r="D11" s="14" t="s">
        <v>3</v>
      </c>
      <c r="E11" s="1"/>
    </row>
    <row r="12" spans="1:5" ht="25.5" x14ac:dyDescent="0.25">
      <c r="A12" s="1"/>
      <c r="B12" s="72" t="s">
        <v>229</v>
      </c>
      <c r="C12" s="73">
        <v>47988</v>
      </c>
      <c r="D12" s="14" t="s">
        <v>3</v>
      </c>
      <c r="E12" s="1"/>
    </row>
    <row r="13" spans="1:5" x14ac:dyDescent="0.25">
      <c r="A13" s="1"/>
      <c r="B13" s="72" t="s">
        <v>230</v>
      </c>
      <c r="C13" s="73">
        <v>627760</v>
      </c>
      <c r="D13" s="14" t="s">
        <v>3</v>
      </c>
      <c r="E13" s="1"/>
    </row>
    <row r="14" spans="1:5" x14ac:dyDescent="0.25">
      <c r="A14" s="1"/>
      <c r="B14" s="72" t="s">
        <v>231</v>
      </c>
      <c r="C14" s="73">
        <v>1430760</v>
      </c>
      <c r="D14" s="14" t="s">
        <v>3</v>
      </c>
      <c r="E14" s="1"/>
    </row>
    <row r="15" spans="1:5" x14ac:dyDescent="0.25">
      <c r="A15" s="1"/>
      <c r="B15" s="72" t="s">
        <v>232</v>
      </c>
      <c r="C15" s="73">
        <v>23610</v>
      </c>
      <c r="D15" s="14" t="s">
        <v>3</v>
      </c>
      <c r="E15" s="1"/>
    </row>
    <row r="16" spans="1:5" x14ac:dyDescent="0.25">
      <c r="A16" s="1"/>
      <c r="B16" s="72"/>
      <c r="C16" s="73"/>
      <c r="D16" s="14" t="s">
        <v>3</v>
      </c>
      <c r="E16" s="1"/>
    </row>
    <row r="17" spans="1:5" x14ac:dyDescent="0.25">
      <c r="A17" s="1"/>
      <c r="B17" s="72"/>
      <c r="C17" s="73"/>
      <c r="D17" s="14" t="s">
        <v>3</v>
      </c>
      <c r="E17" s="1"/>
    </row>
    <row r="18" spans="1:5" x14ac:dyDescent="0.25">
      <c r="A18" s="1"/>
      <c r="B18" s="72"/>
      <c r="C18" s="73"/>
      <c r="D18" s="14" t="s">
        <v>3</v>
      </c>
      <c r="E18" s="1"/>
    </row>
    <row r="19" spans="1:5" x14ac:dyDescent="0.25">
      <c r="A19" s="1"/>
      <c r="B19" s="72"/>
      <c r="C19" s="73"/>
      <c r="D19" s="14" t="s">
        <v>3</v>
      </c>
      <c r="E19" s="1"/>
    </row>
    <row r="20" spans="1:5" x14ac:dyDescent="0.25">
      <c r="A20" s="1"/>
      <c r="B20" s="33" t="s">
        <v>167</v>
      </c>
      <c r="C20" s="12">
        <f>SUM(C10:C19)</f>
        <v>4396903</v>
      </c>
      <c r="D20" s="13" t="s">
        <v>3</v>
      </c>
      <c r="E20" s="1"/>
    </row>
    <row r="21" spans="1:5" x14ac:dyDescent="0.25">
      <c r="A21" s="1"/>
      <c r="B21" s="33" t="s">
        <v>168</v>
      </c>
      <c r="C21" s="12">
        <f>C20*(1+'Fane 15. Nøgletal'!C10)^2</f>
        <v>4999259.7603480704</v>
      </c>
      <c r="D21" s="13" t="s">
        <v>3</v>
      </c>
      <c r="E21" s="1"/>
    </row>
    <row r="22" spans="1:5" x14ac:dyDescent="0.25">
      <c r="A22" s="1"/>
      <c r="B22" s="16"/>
      <c r="C22" s="15"/>
      <c r="D22" s="15"/>
      <c r="E22" s="1"/>
    </row>
    <row r="23" spans="1:5" x14ac:dyDescent="0.25">
      <c r="A23" s="1"/>
      <c r="B23" s="16"/>
      <c r="C23" s="15"/>
      <c r="D23" s="15"/>
      <c r="E23" s="1"/>
    </row>
    <row r="24" spans="1:5" x14ac:dyDescent="0.25">
      <c r="A24" s="1"/>
      <c r="B24" s="108" t="s">
        <v>60</v>
      </c>
      <c r="C24" s="109"/>
      <c r="D24" s="110"/>
      <c r="E24" s="1"/>
    </row>
    <row r="25" spans="1:5" x14ac:dyDescent="0.25">
      <c r="A25" s="1"/>
      <c r="B25" s="37" t="s">
        <v>72</v>
      </c>
      <c r="C25" s="9">
        <v>0</v>
      </c>
      <c r="D25" s="14" t="s">
        <v>3</v>
      </c>
      <c r="E25" s="1"/>
    </row>
    <row r="26" spans="1:5" x14ac:dyDescent="0.25">
      <c r="A26" s="1"/>
      <c r="B26" s="37" t="s">
        <v>83</v>
      </c>
      <c r="C26" s="9">
        <v>0</v>
      </c>
      <c r="D26" s="14" t="s">
        <v>3</v>
      </c>
      <c r="E26" s="1"/>
    </row>
    <row r="27" spans="1:5" x14ac:dyDescent="0.25">
      <c r="A27" s="1"/>
      <c r="B27" s="37" t="s">
        <v>148</v>
      </c>
      <c r="C27" s="9">
        <v>0</v>
      </c>
      <c r="D27" s="14" t="s">
        <v>3</v>
      </c>
      <c r="E27" s="1"/>
    </row>
    <row r="28" spans="1:5" x14ac:dyDescent="0.25">
      <c r="A28" s="1"/>
      <c r="B28" s="34" t="s">
        <v>169</v>
      </c>
      <c r="C28" s="9">
        <v>0</v>
      </c>
      <c r="D28" s="36" t="s">
        <v>3</v>
      </c>
      <c r="E28" s="1"/>
    </row>
    <row r="29" spans="1:5" x14ac:dyDescent="0.25">
      <c r="A29" s="1"/>
      <c r="B29" s="108"/>
      <c r="C29" s="109"/>
      <c r="D29" s="110"/>
      <c r="E29" s="1"/>
    </row>
    <row r="30" spans="1:5" x14ac:dyDescent="0.25">
      <c r="A30" s="1"/>
      <c r="B30" s="1"/>
      <c r="C30" s="1"/>
      <c r="D30" s="1"/>
      <c r="E30" s="1"/>
    </row>
    <row r="31" spans="1:5" x14ac:dyDescent="0.25">
      <c r="A31" s="1"/>
      <c r="B31" s="1"/>
      <c r="C31" s="1"/>
      <c r="D31" s="1"/>
      <c r="E31" s="1"/>
    </row>
    <row r="32" spans="1:5" x14ac:dyDescent="0.25">
      <c r="A32" s="1"/>
      <c r="B32" s="108" t="s">
        <v>47</v>
      </c>
      <c r="C32" s="109"/>
      <c r="D32" s="110"/>
      <c r="E32" s="1"/>
    </row>
    <row r="33" spans="1:5" x14ac:dyDescent="0.25">
      <c r="A33" s="1"/>
      <c r="B33" s="37" t="s">
        <v>72</v>
      </c>
      <c r="C33" s="9">
        <v>0</v>
      </c>
      <c r="D33" s="14" t="s">
        <v>3</v>
      </c>
      <c r="E33" s="1"/>
    </row>
    <row r="34" spans="1:5" x14ac:dyDescent="0.25">
      <c r="A34" s="1"/>
      <c r="B34" s="37" t="s">
        <v>83</v>
      </c>
      <c r="C34" s="9">
        <v>0</v>
      </c>
      <c r="D34" s="14" t="s">
        <v>3</v>
      </c>
      <c r="E34" s="1"/>
    </row>
    <row r="35" spans="1:5" x14ac:dyDescent="0.25">
      <c r="A35" s="1"/>
      <c r="B35" s="37" t="s">
        <v>148</v>
      </c>
      <c r="C35" s="9">
        <v>0</v>
      </c>
      <c r="D35" s="14" t="s">
        <v>3</v>
      </c>
      <c r="E35" s="1"/>
    </row>
    <row r="36" spans="1:5" x14ac:dyDescent="0.25">
      <c r="A36" s="1"/>
      <c r="B36" s="34" t="s">
        <v>169</v>
      </c>
      <c r="C36" s="9">
        <v>0</v>
      </c>
      <c r="D36" s="36" t="s">
        <v>3</v>
      </c>
      <c r="E36" s="1"/>
    </row>
    <row r="37" spans="1:5" x14ac:dyDescent="0.25">
      <c r="A37" s="1"/>
      <c r="B37" s="108"/>
      <c r="C37" s="109"/>
      <c r="D37" s="110"/>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row r="56" spans="1:5" hidden="1" x14ac:dyDescent="0.25">
      <c r="A56" s="44"/>
      <c r="B56" s="44"/>
      <c r="C56" s="44"/>
      <c r="D56" s="44"/>
      <c r="E56" s="44"/>
    </row>
  </sheetData>
  <sheetProtection algorithmName="SHA-512" hashValue="kGepFmJBCA7qtSKvjScSM3mwi0DZDkoVo6knQw6ZxMB1hdCFwJlB9Gln0RGPJkKOo8KWUnJDhoTRFBLgtvKL8g==" saltValue="iGUAaJ/HIp9qN0EZHH/QgQ=="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dimension ref="A1:E53"/>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201</v>
      </c>
      <c r="C3" s="106"/>
      <c r="D3" s="106"/>
      <c r="E3" s="1"/>
    </row>
    <row r="4" spans="1:5" ht="15" customHeight="1" x14ac:dyDescent="0.25">
      <c r="A4" s="1"/>
      <c r="B4" s="106"/>
      <c r="C4" s="106"/>
      <c r="D4" s="106"/>
      <c r="E4" s="1"/>
    </row>
    <row r="5" spans="1:5" ht="15" customHeight="1" x14ac:dyDescent="0.25">
      <c r="A5" s="1"/>
      <c r="B5" s="106"/>
      <c r="C5" s="106"/>
      <c r="D5" s="106"/>
      <c r="E5" s="1"/>
    </row>
    <row r="6" spans="1:5" ht="15" customHeight="1" x14ac:dyDescent="0.25">
      <c r="A6" s="1"/>
      <c r="B6" s="75"/>
      <c r="C6" s="75"/>
      <c r="D6" s="75"/>
      <c r="E6" s="1"/>
    </row>
    <row r="7" spans="1:5" x14ac:dyDescent="0.25">
      <c r="A7" s="1"/>
      <c r="B7" s="1"/>
      <c r="C7" s="1"/>
      <c r="D7" s="1"/>
      <c r="E7" s="1"/>
    </row>
    <row r="8" spans="1:5" x14ac:dyDescent="0.25">
      <c r="A8" s="1"/>
      <c r="B8" s="108" t="s">
        <v>77</v>
      </c>
      <c r="C8" s="109"/>
      <c r="D8" s="110"/>
      <c r="E8" s="1"/>
    </row>
    <row r="9" spans="1:5" x14ac:dyDescent="0.25">
      <c r="A9" s="1"/>
      <c r="B9" s="65" t="s">
        <v>204</v>
      </c>
      <c r="C9" s="9">
        <v>-4764632.3035124838</v>
      </c>
      <c r="D9" s="14" t="s">
        <v>3</v>
      </c>
      <c r="E9" s="1"/>
    </row>
    <row r="10" spans="1:5" x14ac:dyDescent="0.25">
      <c r="A10" s="1"/>
      <c r="B10" s="33"/>
      <c r="C10" s="28"/>
      <c r="D10" s="19"/>
      <c r="E10" s="1"/>
    </row>
    <row r="11" spans="1:5" ht="53.25" customHeight="1" x14ac:dyDescent="0.25">
      <c r="A11" s="1"/>
      <c r="B11" s="119" t="s">
        <v>212</v>
      </c>
      <c r="C11" s="120"/>
      <c r="D11" s="121"/>
      <c r="E11" s="1"/>
    </row>
    <row r="12" spans="1:5" x14ac:dyDescent="0.25">
      <c r="A12" s="1"/>
      <c r="B12" s="1"/>
      <c r="C12" s="1"/>
      <c r="D12" s="1"/>
      <c r="E12" s="1"/>
    </row>
    <row r="13" spans="1:5" x14ac:dyDescent="0.25">
      <c r="A13" s="1"/>
      <c r="B13" s="108" t="s">
        <v>78</v>
      </c>
      <c r="C13" s="109"/>
      <c r="D13" s="110"/>
      <c r="E13" s="1"/>
    </row>
    <row r="14" spans="1:5" x14ac:dyDescent="0.25">
      <c r="A14" s="1"/>
      <c r="B14" s="65" t="s">
        <v>202</v>
      </c>
      <c r="C14" s="9">
        <v>-2382316.1517562419</v>
      </c>
      <c r="D14" s="14" t="s">
        <v>3</v>
      </c>
      <c r="E14" s="1"/>
    </row>
    <row r="15" spans="1:5" x14ac:dyDescent="0.25">
      <c r="A15" s="1"/>
      <c r="B15" s="65" t="s">
        <v>203</v>
      </c>
      <c r="C15" s="9">
        <v>-2382316.1517562419</v>
      </c>
      <c r="D15" s="14" t="s">
        <v>3</v>
      </c>
      <c r="E15" s="1"/>
    </row>
    <row r="16" spans="1:5" x14ac:dyDescent="0.25">
      <c r="A16" s="1"/>
      <c r="B16" s="33"/>
      <c r="C16" s="28"/>
      <c r="D16" s="19"/>
      <c r="E16" s="1"/>
    </row>
    <row r="17" spans="1:5" ht="29.25" customHeight="1" x14ac:dyDescent="0.25">
      <c r="A17" s="1"/>
      <c r="B17" s="119" t="s">
        <v>121</v>
      </c>
      <c r="C17" s="120"/>
      <c r="D17" s="121"/>
      <c r="E17" s="1"/>
    </row>
    <row r="18" spans="1:5" x14ac:dyDescent="0.25">
      <c r="A18" s="1"/>
      <c r="B18" s="1"/>
      <c r="C18" s="1"/>
      <c r="D18" s="1"/>
      <c r="E18" s="1"/>
    </row>
    <row r="19" spans="1:5" x14ac:dyDescent="0.25">
      <c r="A19" s="1"/>
      <c r="B19" s="76" t="s">
        <v>205</v>
      </c>
      <c r="C19" s="77"/>
      <c r="D19" s="78"/>
      <c r="E19" s="1"/>
    </row>
    <row r="20" spans="1:5" x14ac:dyDescent="0.25">
      <c r="A20" s="1"/>
      <c r="B20" s="65" t="s">
        <v>206</v>
      </c>
      <c r="C20" s="9">
        <v>127340111.21298951</v>
      </c>
      <c r="D20" s="14" t="s">
        <v>3</v>
      </c>
      <c r="E20" s="1"/>
    </row>
    <row r="21" spans="1:5" x14ac:dyDescent="0.25">
      <c r="A21" s="1"/>
      <c r="B21" s="65" t="s">
        <v>207</v>
      </c>
      <c r="C21" s="9">
        <v>115460252</v>
      </c>
      <c r="D21" s="14" t="s">
        <v>3</v>
      </c>
      <c r="E21" s="1"/>
    </row>
    <row r="22" spans="1:5" x14ac:dyDescent="0.25">
      <c r="A22" s="1"/>
      <c r="B22" s="65" t="s">
        <v>29</v>
      </c>
      <c r="C22" s="9">
        <v>0</v>
      </c>
      <c r="D22" s="14" t="s">
        <v>3</v>
      </c>
      <c r="E22" s="1"/>
    </row>
    <row r="23" spans="1:5" x14ac:dyDescent="0.25">
      <c r="A23" s="1"/>
      <c r="B23" s="82" t="s">
        <v>208</v>
      </c>
      <c r="C23" s="57">
        <f>C20-C21-C22</f>
        <v>11879859.212989509</v>
      </c>
      <c r="D23" s="17" t="s">
        <v>3</v>
      </c>
      <c r="E23" s="1"/>
    </row>
    <row r="24" spans="1:5" x14ac:dyDescent="0.25">
      <c r="A24" s="1"/>
      <c r="B24" s="33"/>
      <c r="C24" s="28"/>
      <c r="D24" s="19"/>
      <c r="E24" s="1"/>
    </row>
    <row r="25" spans="1:5" x14ac:dyDescent="0.25">
      <c r="A25" s="1"/>
      <c r="B25" s="1"/>
      <c r="C25" s="1"/>
      <c r="D25" s="1"/>
      <c r="E25" s="1"/>
    </row>
    <row r="26" spans="1:5" x14ac:dyDescent="0.25">
      <c r="A26" s="1"/>
      <c r="B26" s="108" t="s">
        <v>209</v>
      </c>
      <c r="C26" s="109"/>
      <c r="D26" s="110"/>
      <c r="E26" s="1"/>
    </row>
    <row r="27" spans="1:5" x14ac:dyDescent="0.25">
      <c r="A27" s="1"/>
      <c r="B27" s="82" t="s">
        <v>210</v>
      </c>
      <c r="C27" s="57">
        <f>IF(AND(C15&lt;0,C23&gt;0,ABS(SUM(C14:C15))&lt;C23),ABS(C14),IF(AND(C15&lt;0,C23&gt;0,ABS(SUM(C14:C15))&gt;C23),SUM(C14,C23),C15))</f>
        <v>2382316.1517562419</v>
      </c>
      <c r="D27" s="17" t="s">
        <v>3</v>
      </c>
      <c r="E27" s="1"/>
    </row>
    <row r="28" spans="1:5" x14ac:dyDescent="0.25">
      <c r="A28" s="1"/>
      <c r="B28" s="108"/>
      <c r="C28" s="109"/>
      <c r="D28" s="110"/>
      <c r="E28" s="1"/>
    </row>
    <row r="29" spans="1:5" x14ac:dyDescent="0.25">
      <c r="A29" s="1"/>
      <c r="B29" s="1"/>
      <c r="C29" s="1"/>
      <c r="D29" s="1"/>
      <c r="E29" s="1"/>
    </row>
    <row r="30" spans="1:5" x14ac:dyDescent="0.25">
      <c r="A30" s="1"/>
      <c r="B30" s="108" t="s">
        <v>211</v>
      </c>
      <c r="C30" s="109"/>
      <c r="D30" s="110"/>
      <c r="E30" s="1"/>
    </row>
    <row r="31" spans="1:5" x14ac:dyDescent="0.25">
      <c r="A31" s="1"/>
      <c r="B31" s="66" t="s">
        <v>69</v>
      </c>
      <c r="C31" s="58">
        <f>IF(AND(C9&gt;0,(C9+C23)&gt;0),0,IF(AND(C9&gt;0,(C9+C23)&lt;0),(C9+C23),IF(AND(C9&lt;0,C23&lt;0),C23,0)))</f>
        <v>0</v>
      </c>
      <c r="D31" s="14" t="s">
        <v>3</v>
      </c>
      <c r="E31" s="1"/>
    </row>
    <row r="32" spans="1:5" x14ac:dyDescent="0.25">
      <c r="A32" s="1"/>
      <c r="B32" s="66" t="s">
        <v>49</v>
      </c>
      <c r="C32" s="9">
        <v>2</v>
      </c>
      <c r="D32" s="14" t="s">
        <v>20</v>
      </c>
      <c r="E32" s="1"/>
    </row>
    <row r="33" spans="1:5" x14ac:dyDescent="0.25">
      <c r="A33" s="1"/>
      <c r="B33" s="67" t="s">
        <v>70</v>
      </c>
      <c r="C33" s="57">
        <f>C31/C32</f>
        <v>0</v>
      </c>
      <c r="D33" s="17" t="s">
        <v>3</v>
      </c>
      <c r="E33" s="1"/>
    </row>
    <row r="34" spans="1:5" x14ac:dyDescent="0.25">
      <c r="A34" s="1"/>
      <c r="B34" s="116"/>
      <c r="C34" s="117"/>
      <c r="D34" s="118"/>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hidden="1" x14ac:dyDescent="0.25">
      <c r="A46" s="44"/>
      <c r="B46" s="44"/>
      <c r="C46" s="44"/>
      <c r="D46" s="44"/>
      <c r="E46" s="44"/>
    </row>
    <row r="47" spans="1:5" hidden="1" x14ac:dyDescent="0.25">
      <c r="A47" s="44"/>
      <c r="B47" s="44"/>
      <c r="C47" s="44"/>
      <c r="D47" s="44"/>
      <c r="E47" s="44"/>
    </row>
    <row r="48" spans="1:5" hidden="1" x14ac:dyDescent="0.25">
      <c r="A48" s="44"/>
      <c r="B48" s="44"/>
      <c r="C48" s="44"/>
      <c r="D48" s="44"/>
      <c r="E48" s="44"/>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E53" s="44"/>
    </row>
  </sheetData>
  <sheetProtection algorithmName="SHA-512" hashValue="XF4sl8VNTvVIFWEloEmq3HMplYxx22JYvYB3rozyA8CdRjtZWqEy5BYY1AOHR0vQ/e+NnczPHiscJStaFxujGQ==" saltValue="Ju7ZI/PW3HgSV0UTWinVlQ==" spinCount="100000" sheet="1" objects="1" scenarios="1"/>
  <mergeCells count="9">
    <mergeCell ref="B3:D5"/>
    <mergeCell ref="B30:D30"/>
    <mergeCell ref="B34:D34"/>
    <mergeCell ref="B28:D28"/>
    <mergeCell ref="B8:D8"/>
    <mergeCell ref="B11:D11"/>
    <mergeCell ref="B13:D13"/>
    <mergeCell ref="B17:D17"/>
    <mergeCell ref="B26:D26"/>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E49"/>
  <sheetViews>
    <sheetView zoomScaleNormal="100" workbookViewId="0"/>
  </sheetViews>
  <sheetFormatPr defaultColWidth="0" defaultRowHeight="15" zeroHeight="1" x14ac:dyDescent="0.25"/>
  <cols>
    <col min="1" max="1" width="5.28515625" style="56" customWidth="1"/>
    <col min="2" max="2" width="57.140625" style="56" customWidth="1"/>
    <col min="3" max="3" width="12.5703125" style="56" customWidth="1"/>
    <col min="4" max="4" width="3.140625" style="56" customWidth="1"/>
    <col min="5" max="5" width="5.28515625" style="56" customWidth="1"/>
    <col min="6" max="16384" width="9.140625" style="56" hidden="1"/>
  </cols>
  <sheetData>
    <row r="1" spans="1:5" x14ac:dyDescent="0.25">
      <c r="A1" s="1"/>
      <c r="B1" s="1"/>
      <c r="C1" s="1"/>
      <c r="D1" s="1"/>
      <c r="E1" s="1"/>
    </row>
    <row r="2" spans="1:5" x14ac:dyDescent="0.25">
      <c r="A2" s="1"/>
      <c r="B2" s="1"/>
      <c r="C2" s="1"/>
      <c r="D2" s="1"/>
      <c r="E2" s="1"/>
    </row>
    <row r="3" spans="1:5" ht="15" customHeight="1" x14ac:dyDescent="0.25">
      <c r="A3" s="1"/>
      <c r="B3" s="106" t="s">
        <v>101</v>
      </c>
      <c r="C3" s="106"/>
      <c r="D3" s="106"/>
      <c r="E3" s="1"/>
    </row>
    <row r="4" spans="1:5" ht="15" customHeight="1" x14ac:dyDescent="0.25">
      <c r="A4" s="1"/>
      <c r="B4" s="106"/>
      <c r="C4" s="106"/>
      <c r="D4" s="106"/>
      <c r="E4" s="1"/>
    </row>
    <row r="5" spans="1:5" x14ac:dyDescent="0.25">
      <c r="A5" s="1"/>
      <c r="B5" s="106"/>
      <c r="C5" s="106"/>
      <c r="D5" s="106"/>
      <c r="E5" s="1"/>
    </row>
    <row r="6" spans="1:5" x14ac:dyDescent="0.25">
      <c r="A6" s="1"/>
      <c r="B6" s="1"/>
      <c r="C6" s="1"/>
      <c r="D6" s="1"/>
      <c r="E6" s="1"/>
    </row>
    <row r="7" spans="1:5" x14ac:dyDescent="0.25">
      <c r="A7" s="1"/>
      <c r="B7" s="1"/>
      <c r="C7" s="1"/>
      <c r="D7" s="1"/>
      <c r="E7" s="1"/>
    </row>
    <row r="8" spans="1:5" x14ac:dyDescent="0.25">
      <c r="A8" s="1"/>
      <c r="B8" s="108" t="s">
        <v>120</v>
      </c>
      <c r="C8" s="109"/>
      <c r="D8" s="110"/>
      <c r="E8" s="1"/>
    </row>
    <row r="9" spans="1:5" ht="15" customHeight="1" x14ac:dyDescent="0.25">
      <c r="A9" s="1"/>
      <c r="B9" s="122" t="s">
        <v>102</v>
      </c>
      <c r="C9" s="123"/>
      <c r="D9" s="124"/>
      <c r="E9" s="1"/>
    </row>
    <row r="10" spans="1:5" x14ac:dyDescent="0.25">
      <c r="A10" s="1"/>
      <c r="B10" s="68" t="s">
        <v>103</v>
      </c>
      <c r="C10" s="9"/>
      <c r="D10" s="9" t="s">
        <v>3</v>
      </c>
      <c r="E10" s="1"/>
    </row>
    <row r="11" spans="1:5" x14ac:dyDescent="0.25">
      <c r="A11" s="1"/>
      <c r="B11" s="68" t="s">
        <v>104</v>
      </c>
      <c r="C11" s="9"/>
      <c r="D11" s="9" t="s">
        <v>3</v>
      </c>
      <c r="E11" s="1"/>
    </row>
    <row r="12" spans="1:5" x14ac:dyDescent="0.25">
      <c r="A12" s="1"/>
      <c r="B12" s="68" t="s">
        <v>105</v>
      </c>
      <c r="C12" s="9"/>
      <c r="D12" s="9" t="s">
        <v>3</v>
      </c>
      <c r="E12" s="1"/>
    </row>
    <row r="13" spans="1:5" x14ac:dyDescent="0.25">
      <c r="A13" s="1"/>
      <c r="B13" s="68" t="s">
        <v>106</v>
      </c>
      <c r="C13" s="9"/>
      <c r="D13" s="9" t="s">
        <v>3</v>
      </c>
      <c r="E13" s="1"/>
    </row>
    <row r="14" spans="1:5" x14ac:dyDescent="0.25">
      <c r="A14" s="1"/>
      <c r="B14" s="68" t="s">
        <v>107</v>
      </c>
      <c r="C14" s="9"/>
      <c r="D14" s="9" t="s">
        <v>3</v>
      </c>
      <c r="E14" s="1"/>
    </row>
    <row r="15" spans="1:5" x14ac:dyDescent="0.25">
      <c r="A15" s="1"/>
      <c r="B15" s="68" t="s">
        <v>108</v>
      </c>
      <c r="C15" s="9"/>
      <c r="D15" s="9" t="s">
        <v>3</v>
      </c>
      <c r="E15" s="1"/>
    </row>
    <row r="16" spans="1:5" x14ac:dyDescent="0.25">
      <c r="A16" s="1"/>
      <c r="B16" s="68" t="s">
        <v>109</v>
      </c>
      <c r="C16" s="9"/>
      <c r="D16" s="9" t="s">
        <v>3</v>
      </c>
      <c r="E16" s="1"/>
    </row>
    <row r="17" spans="1:5" x14ac:dyDescent="0.25">
      <c r="A17" s="1"/>
      <c r="B17" s="68" t="s">
        <v>110</v>
      </c>
      <c r="C17" s="9"/>
      <c r="D17" s="9" t="s">
        <v>3</v>
      </c>
      <c r="E17" s="1"/>
    </row>
    <row r="18" spans="1:5" x14ac:dyDescent="0.25">
      <c r="A18" s="1"/>
      <c r="B18" s="76" t="s">
        <v>111</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8yT8kzEosE4Nxf0pm6hJBEFHGVFw4hGPB8Y7eV4h37U4n8gQThjbXdAjJjCjRJfhAN+jKIJkHtozqKuN/H8RRA==" saltValue="90IC4x8gFwwgF6OnZVrTHg==" spinCount="100000" sheet="1" objects="1" scenarios="1"/>
  <mergeCells count="3">
    <mergeCell ref="B9:D9"/>
    <mergeCell ref="B8:D8"/>
    <mergeCell ref="B3:D5"/>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E48"/>
  <sheetViews>
    <sheetView showGridLines="0" zoomScaleNormal="100" workbookViewId="0"/>
  </sheetViews>
  <sheetFormatPr defaultColWidth="0" defaultRowHeight="15" zeroHeight="1" x14ac:dyDescent="0.25"/>
  <cols>
    <col min="1" max="1" width="5.28515625" style="2" customWidth="1"/>
    <col min="2" max="2" width="55.710937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170</v>
      </c>
      <c r="C3" s="106"/>
      <c r="D3" s="106"/>
      <c r="E3" s="1"/>
    </row>
    <row r="4" spans="1:5" ht="15" customHeight="1" x14ac:dyDescent="0.25">
      <c r="A4" s="1"/>
      <c r="B4" s="106"/>
      <c r="C4" s="106"/>
      <c r="D4" s="106"/>
      <c r="E4" s="1"/>
    </row>
    <row r="5" spans="1:5" x14ac:dyDescent="0.25">
      <c r="A5" s="1"/>
      <c r="B5" s="1"/>
      <c r="C5" s="1"/>
      <c r="D5" s="1"/>
      <c r="E5" s="1"/>
    </row>
    <row r="6" spans="1:5" x14ac:dyDescent="0.25">
      <c r="A6" s="1"/>
      <c r="B6" s="1"/>
      <c r="C6" s="1"/>
      <c r="D6" s="1"/>
      <c r="E6" s="1"/>
    </row>
    <row r="7" spans="1:5" x14ac:dyDescent="0.25">
      <c r="A7" s="1"/>
      <c r="B7" s="1"/>
      <c r="C7" s="1"/>
      <c r="D7" s="1"/>
      <c r="E7" s="1"/>
    </row>
    <row r="8" spans="1:5" ht="15" customHeight="1" x14ac:dyDescent="0.25">
      <c r="A8" s="1"/>
      <c r="B8" s="108" t="s">
        <v>171</v>
      </c>
      <c r="C8" s="109"/>
      <c r="D8" s="110"/>
      <c r="E8" s="1"/>
    </row>
    <row r="9" spans="1:5" ht="26.25" x14ac:dyDescent="0.25">
      <c r="A9" s="1"/>
      <c r="B9" s="79" t="s">
        <v>215</v>
      </c>
      <c r="C9" s="7">
        <v>3542863.5247442601</v>
      </c>
      <c r="D9" s="8" t="s">
        <v>3</v>
      </c>
      <c r="E9" s="1"/>
    </row>
    <row r="10" spans="1:5" ht="14.25" customHeight="1" x14ac:dyDescent="0.25">
      <c r="A10" s="1"/>
      <c r="B10" s="65" t="s">
        <v>172</v>
      </c>
      <c r="C10" s="7">
        <v>0</v>
      </c>
      <c r="D10" s="8" t="s">
        <v>3</v>
      </c>
      <c r="E10" s="1"/>
    </row>
    <row r="11" spans="1:5" ht="14.25" customHeight="1" x14ac:dyDescent="0.25">
      <c r="A11" s="1"/>
      <c r="B11" s="82" t="s">
        <v>48</v>
      </c>
      <c r="C11" s="10">
        <f>C10-C9</f>
        <v>-3542863.5247442601</v>
      </c>
      <c r="D11" s="11" t="s">
        <v>3</v>
      </c>
      <c r="E11" s="1"/>
    </row>
    <row r="12" spans="1:5" ht="14.25" customHeight="1" x14ac:dyDescent="0.25">
      <c r="A12" s="1"/>
      <c r="B12" s="108" t="s">
        <v>217</v>
      </c>
      <c r="C12" s="109"/>
      <c r="D12" s="110"/>
      <c r="E12" s="1"/>
    </row>
    <row r="13" spans="1:5" ht="26.25" x14ac:dyDescent="0.25">
      <c r="A13" s="1"/>
      <c r="B13" s="79" t="s">
        <v>216</v>
      </c>
      <c r="C13" s="7"/>
      <c r="D13" s="8" t="s">
        <v>3</v>
      </c>
      <c r="E13" s="1"/>
    </row>
    <row r="14" spans="1:5" ht="14.25" customHeight="1" x14ac:dyDescent="0.25">
      <c r="A14" s="1"/>
      <c r="B14" s="65" t="s">
        <v>173</v>
      </c>
      <c r="C14" s="7"/>
      <c r="D14" s="8" t="s">
        <v>3</v>
      </c>
      <c r="E14" s="1"/>
    </row>
    <row r="15" spans="1:5" ht="14.25" customHeight="1" x14ac:dyDescent="0.25">
      <c r="A15" s="1"/>
      <c r="B15" s="82" t="s">
        <v>48</v>
      </c>
      <c r="C15" s="10">
        <f>C14-C13</f>
        <v>0</v>
      </c>
      <c r="D15" s="11" t="s">
        <v>3</v>
      </c>
      <c r="E15" s="1"/>
    </row>
    <row r="16" spans="1:5" ht="14.25" customHeight="1" x14ac:dyDescent="0.25">
      <c r="A16" s="1"/>
      <c r="B16" s="33" t="s">
        <v>174</v>
      </c>
      <c r="C16" s="12">
        <f>C11+C15</f>
        <v>-3542863.5247442601</v>
      </c>
      <c r="D16" s="13" t="s">
        <v>3</v>
      </c>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yErGDo+58BY5LwwPNSoExAWAa955U/1zxMqoibt+Ff7LNvfNuYZm54BEEID3DOhXMJpAbYLesJdoD9YE6apvyg==" saltValue="2WWXzP5tLRU+eo+zR10EKQ==" spinCount="100000" sheet="1" objects="1" scenarios="1"/>
  <mergeCells count="3">
    <mergeCell ref="B12:D12"/>
    <mergeCell ref="B3:D4"/>
    <mergeCell ref="B8:D8"/>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4" t="s">
        <v>113</v>
      </c>
      <c r="C3" s="104"/>
      <c r="D3" s="104"/>
      <c r="E3" s="104"/>
      <c r="F3" s="104"/>
      <c r="G3" s="104"/>
      <c r="H3" s="104"/>
      <c r="I3" s="104"/>
      <c r="J3" s="104"/>
      <c r="K3" s="104"/>
      <c r="L3" s="1"/>
    </row>
    <row r="4" spans="1:12" ht="15" customHeight="1" x14ac:dyDescent="0.25">
      <c r="A4" s="1"/>
      <c r="B4" s="104"/>
      <c r="C4" s="104"/>
      <c r="D4" s="104"/>
      <c r="E4" s="104"/>
      <c r="F4" s="104"/>
      <c r="G4" s="104"/>
      <c r="H4" s="104"/>
      <c r="I4" s="104"/>
      <c r="J4" s="104"/>
      <c r="K4" s="10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8" t="s">
        <v>86</v>
      </c>
      <c r="C8" s="109"/>
      <c r="D8" s="109"/>
      <c r="E8" s="109"/>
      <c r="F8" s="109"/>
      <c r="G8" s="109"/>
      <c r="H8" s="109"/>
      <c r="I8" s="109"/>
      <c r="J8" s="109"/>
      <c r="K8" s="110"/>
      <c r="L8" s="1"/>
    </row>
    <row r="9" spans="1:12" ht="39.75" customHeight="1" x14ac:dyDescent="0.25">
      <c r="A9" s="1"/>
      <c r="B9" s="18" t="s">
        <v>0</v>
      </c>
      <c r="C9" s="18" t="s">
        <v>1</v>
      </c>
      <c r="D9" s="125" t="s">
        <v>96</v>
      </c>
      <c r="E9" s="126"/>
      <c r="F9" s="125" t="s">
        <v>2</v>
      </c>
      <c r="G9" s="126"/>
      <c r="H9" s="125" t="s">
        <v>95</v>
      </c>
      <c r="I9" s="126"/>
      <c r="J9" s="125" t="s">
        <v>26</v>
      </c>
      <c r="K9" s="126"/>
      <c r="L9" s="1"/>
    </row>
    <row r="10" spans="1:12" x14ac:dyDescent="0.25">
      <c r="A10" s="1"/>
      <c r="B10" s="68" t="s">
        <v>222</v>
      </c>
      <c r="C10" s="42">
        <v>0</v>
      </c>
      <c r="D10" s="9">
        <v>0</v>
      </c>
      <c r="E10" s="14" t="s">
        <v>3</v>
      </c>
      <c r="F10" s="9">
        <f>IFERROR(D10/C10,0)</f>
        <v>0</v>
      </c>
      <c r="G10" s="14" t="s">
        <v>3</v>
      </c>
      <c r="H10" s="38">
        <v>0</v>
      </c>
      <c r="I10" s="14" t="s">
        <v>3</v>
      </c>
      <c r="J10" s="38">
        <v>0</v>
      </c>
      <c r="K10" s="14" t="s">
        <v>3</v>
      </c>
      <c r="L10" s="1"/>
    </row>
    <row r="11" spans="1:12" x14ac:dyDescent="0.25">
      <c r="A11" s="1"/>
      <c r="B11" s="76" t="s">
        <v>219</v>
      </c>
      <c r="C11" s="77"/>
      <c r="D11" s="78"/>
      <c r="E11" s="78"/>
      <c r="F11" s="12">
        <f>SUM(F10:F10)</f>
        <v>0</v>
      </c>
      <c r="G11" s="12" t="s">
        <v>94</v>
      </c>
      <c r="H11" s="12">
        <f>SUM(H10:H10)</f>
        <v>0</v>
      </c>
      <c r="I11" s="12" t="s">
        <v>94</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hidden="1" x14ac:dyDescent="0.25">
      <c r="A47" s="44"/>
      <c r="B47" s="44"/>
      <c r="C47" s="44"/>
      <c r="D47" s="44"/>
      <c r="E47" s="44"/>
      <c r="F47" s="44"/>
      <c r="G47" s="44"/>
      <c r="H47" s="44"/>
      <c r="I47" s="44"/>
      <c r="J47" s="44"/>
      <c r="K47" s="44"/>
      <c r="L47" s="44"/>
    </row>
    <row r="48" spans="1:12" hidden="1" x14ac:dyDescent="0.25">
      <c r="A48" s="44"/>
      <c r="B48" s="44"/>
      <c r="C48" s="44"/>
      <c r="D48" s="44"/>
      <c r="E48" s="44"/>
      <c r="F48" s="44"/>
      <c r="G48" s="44"/>
      <c r="H48" s="44"/>
      <c r="I48" s="44"/>
      <c r="J48" s="44"/>
      <c r="K48" s="44"/>
      <c r="L48" s="44"/>
    </row>
    <row r="49" hidden="1" x14ac:dyDescent="0.25"/>
    <row r="50" hidden="1" x14ac:dyDescent="0.25"/>
    <row r="51" hidden="1" x14ac:dyDescent="0.25"/>
    <row r="52" hidden="1" x14ac:dyDescent="0.25"/>
  </sheetData>
  <sheetProtection algorithmName="SHA-512" hashValue="57CfobY4UXCpMuQkac0+7rhkmhSNiEEcT812iRSxlfIxwydLUQEGyOP6wr7xjcreBQd3JOmfEWK+zQ83R/d+Ng==" saltValue="bduU5KQreZ7WAxyS+N6Jbg=="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114</v>
      </c>
      <c r="C3" s="104"/>
      <c r="D3" s="104"/>
      <c r="E3" s="104"/>
      <c r="F3" s="104"/>
      <c r="G3" s="1"/>
    </row>
    <row r="4" spans="1:7" ht="1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37</v>
      </c>
      <c r="C8" s="28"/>
      <c r="D8" s="28"/>
      <c r="E8" s="28"/>
      <c r="F8" s="19"/>
      <c r="G8" s="1"/>
    </row>
    <row r="9" spans="1:7" ht="17.25" customHeight="1" x14ac:dyDescent="0.25">
      <c r="A9" s="1"/>
      <c r="B9" s="80" t="s">
        <v>17</v>
      </c>
      <c r="C9" s="82" t="s">
        <v>11</v>
      </c>
      <c r="D9" s="81"/>
      <c r="E9" s="82" t="s">
        <v>27</v>
      </c>
      <c r="F9" s="32"/>
      <c r="G9" s="1"/>
    </row>
    <row r="10" spans="1:7" x14ac:dyDescent="0.25">
      <c r="A10" s="1"/>
      <c r="B10" s="24" t="s">
        <v>87</v>
      </c>
      <c r="C10" s="21">
        <f>'Fane 10. Anlægsprojekter (§ 19)'!H11</f>
        <v>0</v>
      </c>
      <c r="D10" s="14" t="s">
        <v>3</v>
      </c>
      <c r="E10" s="9">
        <f>'Fane 10. Anlægsprojekter (§ 19)'!F11+'Fane 10. Anlægsprojekter (§ 19)'!J11</f>
        <v>0</v>
      </c>
      <c r="F10" s="14" t="s">
        <v>3</v>
      </c>
      <c r="G10" s="1"/>
    </row>
    <row r="11" spans="1:7" x14ac:dyDescent="0.25">
      <c r="A11" s="1"/>
      <c r="B11" s="24" t="s">
        <v>233</v>
      </c>
      <c r="C11" s="21">
        <v>585890</v>
      </c>
      <c r="D11" s="14" t="s">
        <v>3</v>
      </c>
      <c r="E11" s="9">
        <v>0</v>
      </c>
      <c r="F11" s="14" t="s">
        <v>3</v>
      </c>
      <c r="G11" s="1"/>
    </row>
    <row r="12" spans="1:7" x14ac:dyDescent="0.25">
      <c r="A12" s="1"/>
      <c r="B12" s="24" t="s">
        <v>234</v>
      </c>
      <c r="C12" s="21">
        <v>0</v>
      </c>
      <c r="D12" s="14" t="s">
        <v>3</v>
      </c>
      <c r="E12" s="9">
        <v>3514132</v>
      </c>
      <c r="F12" s="14" t="s">
        <v>3</v>
      </c>
      <c r="G12" s="1"/>
    </row>
    <row r="13" spans="1:7" x14ac:dyDescent="0.25">
      <c r="A13" s="1"/>
      <c r="B13" s="24" t="s">
        <v>235</v>
      </c>
      <c r="C13" s="21">
        <v>7919</v>
      </c>
      <c r="D13" s="14" t="s">
        <v>3</v>
      </c>
      <c r="E13" s="9">
        <v>127233</v>
      </c>
      <c r="F13" s="14" t="s">
        <v>3</v>
      </c>
      <c r="G13" s="1"/>
    </row>
    <row r="14" spans="1:7" x14ac:dyDescent="0.25">
      <c r="A14" s="1"/>
      <c r="B14" s="24" t="s">
        <v>236</v>
      </c>
      <c r="C14" s="21">
        <v>52725</v>
      </c>
      <c r="D14" s="14" t="s">
        <v>3</v>
      </c>
      <c r="E14" s="9">
        <v>0</v>
      </c>
      <c r="F14" s="14" t="s">
        <v>3</v>
      </c>
      <c r="G14" s="1"/>
    </row>
    <row r="15" spans="1:7" x14ac:dyDescent="0.25">
      <c r="A15" s="1"/>
      <c r="B15" s="24" t="s">
        <v>237</v>
      </c>
      <c r="C15" s="21">
        <v>222103</v>
      </c>
      <c r="D15" s="14" t="s">
        <v>3</v>
      </c>
      <c r="E15" s="9">
        <v>0</v>
      </c>
      <c r="F15" s="14" t="s">
        <v>3</v>
      </c>
      <c r="G15" s="1"/>
    </row>
    <row r="16" spans="1:7" x14ac:dyDescent="0.25">
      <c r="A16" s="1"/>
      <c r="B16" s="24" t="s">
        <v>238</v>
      </c>
      <c r="C16" s="21">
        <v>394003</v>
      </c>
      <c r="D16" s="14" t="s">
        <v>3</v>
      </c>
      <c r="E16" s="9">
        <v>0</v>
      </c>
      <c r="F16" s="14" t="s">
        <v>3</v>
      </c>
      <c r="G16" s="1"/>
    </row>
    <row r="17" spans="1:7" x14ac:dyDescent="0.25">
      <c r="A17" s="1"/>
      <c r="B17" s="24"/>
      <c r="C17" s="21"/>
      <c r="D17" s="14" t="s">
        <v>3</v>
      </c>
      <c r="E17" s="9"/>
      <c r="F17" s="14" t="s">
        <v>3</v>
      </c>
      <c r="G17" s="1"/>
    </row>
    <row r="18" spans="1:7" x14ac:dyDescent="0.25">
      <c r="A18" s="1"/>
      <c r="B18" s="24"/>
      <c r="C18" s="21"/>
      <c r="D18" s="14" t="s">
        <v>3</v>
      </c>
      <c r="E18" s="9"/>
      <c r="F18" s="14" t="s">
        <v>3</v>
      </c>
      <c r="G18" s="1"/>
    </row>
    <row r="19" spans="1:7" x14ac:dyDescent="0.25">
      <c r="A19" s="1"/>
      <c r="B19" s="33" t="s">
        <v>139</v>
      </c>
      <c r="C19" s="12">
        <f>SUM(C10:C18)</f>
        <v>1262640</v>
      </c>
      <c r="D19" s="13" t="s">
        <v>3</v>
      </c>
      <c r="E19" s="12">
        <f>SUM(E10:E18)</f>
        <v>3641365</v>
      </c>
      <c r="F19" s="13" t="s">
        <v>3</v>
      </c>
      <c r="G19" s="1"/>
    </row>
    <row r="20" spans="1:7" x14ac:dyDescent="0.25">
      <c r="A20" s="1"/>
      <c r="B20" s="33" t="s">
        <v>175</v>
      </c>
      <c r="C20" s="12">
        <f>C19*(1+'Fane 15. Nøgletal'!C10)</f>
        <v>1346353.0320000001</v>
      </c>
      <c r="D20" s="13" t="s">
        <v>3</v>
      </c>
      <c r="E20" s="12">
        <f>E19*(1+'Fane 15. Nøgletal'!C10)</f>
        <v>3882787.4994999999</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LCSJCg9+vUIUnJHfM5UIkwmL4f6xHFxfgYGkI5DNWg0x7EZgNGkOExqvsvASbrzgwTMoFlUhh6lX9jVI4i2vXw==" saltValue="198vmzCipdEQ7/SKDKuPOg=="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52"/>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42578125" style="2" bestFit="1"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115</v>
      </c>
      <c r="C3" s="104"/>
      <c r="D3" s="104"/>
      <c r="E3" s="104"/>
      <c r="F3" s="104"/>
      <c r="G3" s="1"/>
    </row>
    <row r="4" spans="1:7" ht="1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8" t="s">
        <v>176</v>
      </c>
      <c r="C8" s="109"/>
      <c r="D8" s="109"/>
      <c r="E8" s="109"/>
      <c r="F8" s="110"/>
      <c r="G8" s="1"/>
    </row>
    <row r="9" spans="1:7" x14ac:dyDescent="0.25">
      <c r="A9" s="1"/>
      <c r="B9" s="80" t="s">
        <v>17</v>
      </c>
      <c r="C9" s="82" t="s">
        <v>11</v>
      </c>
      <c r="D9" s="81"/>
      <c r="E9" s="82" t="s">
        <v>27</v>
      </c>
      <c r="F9" s="32"/>
      <c r="G9" s="1"/>
    </row>
    <row r="10" spans="1:7" x14ac:dyDescent="0.25">
      <c r="A10" s="1"/>
      <c r="B10" s="24"/>
      <c r="C10" s="21"/>
      <c r="D10" s="14" t="s">
        <v>3</v>
      </c>
      <c r="E10" s="9"/>
      <c r="F10" s="14" t="s">
        <v>3</v>
      </c>
      <c r="G10" s="1"/>
    </row>
    <row r="11" spans="1:7" ht="26.25" x14ac:dyDescent="0.25">
      <c r="A11" s="1"/>
      <c r="B11" s="70" t="s">
        <v>236</v>
      </c>
      <c r="C11" s="21">
        <v>527254</v>
      </c>
      <c r="D11" s="14" t="s">
        <v>3</v>
      </c>
      <c r="E11" s="9">
        <v>0</v>
      </c>
      <c r="F11" s="14" t="s">
        <v>3</v>
      </c>
      <c r="G11" s="1"/>
    </row>
    <row r="12" spans="1:7" ht="26.25" x14ac:dyDescent="0.25">
      <c r="A12" s="1"/>
      <c r="B12" s="70" t="s">
        <v>237</v>
      </c>
      <c r="C12" s="21">
        <v>2221032</v>
      </c>
      <c r="D12" s="14" t="s">
        <v>3</v>
      </c>
      <c r="E12" s="9">
        <v>0</v>
      </c>
      <c r="F12" s="14" t="s">
        <v>3</v>
      </c>
      <c r="G12" s="1"/>
    </row>
    <row r="13" spans="1:7" ht="26.25" x14ac:dyDescent="0.25">
      <c r="A13" s="1"/>
      <c r="B13" s="70" t="s">
        <v>239</v>
      </c>
      <c r="C13" s="21">
        <v>3940030</v>
      </c>
      <c r="D13" s="14" t="s">
        <v>3</v>
      </c>
      <c r="E13" s="21">
        <v>0</v>
      </c>
      <c r="F13" s="14" t="s">
        <v>3</v>
      </c>
      <c r="G13" s="1"/>
    </row>
    <row r="14" spans="1:7" x14ac:dyDescent="0.25">
      <c r="A14" s="1"/>
      <c r="B14" s="24" t="s">
        <v>234</v>
      </c>
      <c r="C14" s="21">
        <v>0</v>
      </c>
      <c r="D14" s="14" t="s">
        <v>3</v>
      </c>
      <c r="E14" s="21">
        <v>440291</v>
      </c>
      <c r="F14" s="14" t="s">
        <v>3</v>
      </c>
      <c r="G14" s="1"/>
    </row>
    <row r="15" spans="1:7" x14ac:dyDescent="0.25">
      <c r="A15" s="1"/>
      <c r="B15" s="33" t="s">
        <v>177</v>
      </c>
      <c r="C15" s="12">
        <f>SUM(C10:C14)</f>
        <v>6688316</v>
      </c>
      <c r="D15" s="13" t="s">
        <v>3</v>
      </c>
      <c r="E15" s="12">
        <f>SUM(E10:E14)</f>
        <v>440291</v>
      </c>
      <c r="F15" s="13" t="s">
        <v>3</v>
      </c>
      <c r="G15" s="1"/>
    </row>
    <row r="16" spans="1:7" x14ac:dyDescent="0.25">
      <c r="A16" s="1"/>
      <c r="B16" s="33" t="s">
        <v>178</v>
      </c>
      <c r="C16" s="12">
        <f>C15*(1+'Fane 15. Nøgletal'!C10)^2</f>
        <v>7604586.4653580403</v>
      </c>
      <c r="D16" s="13" t="s">
        <v>3</v>
      </c>
      <c r="E16" s="12">
        <f>E15*(1+'Fane 15. Nøgletal'!C10)^2</f>
        <v>500608.96934578998</v>
      </c>
      <c r="F16" s="13" t="s">
        <v>3</v>
      </c>
      <c r="G16" s="1"/>
    </row>
    <row r="17" spans="1:7" x14ac:dyDescent="0.25">
      <c r="A17" s="1"/>
      <c r="B17" s="1"/>
      <c r="C17" s="1"/>
      <c r="D17" s="1"/>
      <c r="E17" s="1"/>
      <c r="F17" s="1"/>
      <c r="G17" s="1"/>
    </row>
    <row r="18" spans="1:7" x14ac:dyDescent="0.25">
      <c r="A18" s="1"/>
      <c r="B18" s="127"/>
      <c r="C18" s="127"/>
      <c r="D18" s="127"/>
      <c r="E18" s="127"/>
      <c r="F18" s="127"/>
      <c r="G18" s="1"/>
    </row>
    <row r="19" spans="1:7" x14ac:dyDescent="0.25">
      <c r="A19" s="1"/>
      <c r="B19" s="47"/>
      <c r="C19" s="47"/>
      <c r="D19" s="47"/>
      <c r="E19" s="47"/>
      <c r="F19" s="48"/>
      <c r="G19" s="1"/>
    </row>
    <row r="20" spans="1:7" x14ac:dyDescent="0.25">
      <c r="A20" s="1"/>
      <c r="B20" s="49"/>
      <c r="C20" s="50"/>
      <c r="D20" s="51"/>
      <c r="E20" s="52"/>
      <c r="F20" s="51"/>
      <c r="G20" s="1"/>
    </row>
    <row r="21" spans="1:7" x14ac:dyDescent="0.25">
      <c r="A21" s="1"/>
      <c r="B21" s="49"/>
      <c r="C21" s="50"/>
      <c r="D21" s="51"/>
      <c r="E21" s="52"/>
      <c r="F21" s="51"/>
      <c r="G21" s="1"/>
    </row>
    <row r="22" spans="1:7" x14ac:dyDescent="0.25">
      <c r="A22" s="1"/>
      <c r="B22" s="53"/>
      <c r="C22" s="54"/>
      <c r="D22" s="55"/>
      <c r="E22" s="54"/>
      <c r="F22" s="55"/>
      <c r="G22" s="1"/>
    </row>
    <row r="23" spans="1:7" x14ac:dyDescent="0.25">
      <c r="A23" s="1"/>
      <c r="B23" s="53"/>
      <c r="C23" s="54"/>
      <c r="D23" s="55"/>
      <c r="E23" s="54"/>
      <c r="F23" s="55"/>
      <c r="G23" s="1"/>
    </row>
    <row r="24" spans="1:7" x14ac:dyDescent="0.25">
      <c r="A24" s="1"/>
      <c r="B24" s="46"/>
      <c r="C24" s="46"/>
      <c r="D24" s="46"/>
      <c r="E24" s="46"/>
      <c r="F24" s="46"/>
      <c r="G24" s="1"/>
    </row>
    <row r="25" spans="1:7" x14ac:dyDescent="0.25">
      <c r="A25" s="1"/>
      <c r="B25" s="47"/>
      <c r="C25" s="47"/>
      <c r="D25" s="47"/>
      <c r="E25" s="47"/>
      <c r="F25" s="48"/>
      <c r="G25" s="1"/>
    </row>
    <row r="26" spans="1:7" x14ac:dyDescent="0.25">
      <c r="A26" s="1"/>
      <c r="B26" s="49"/>
      <c r="C26" s="50"/>
      <c r="D26" s="51"/>
      <c r="E26" s="52"/>
      <c r="F26" s="51"/>
      <c r="G26" s="1"/>
    </row>
    <row r="27" spans="1:7" x14ac:dyDescent="0.25">
      <c r="A27" s="1"/>
      <c r="B27" s="49"/>
      <c r="C27" s="50"/>
      <c r="D27" s="51"/>
      <c r="E27" s="52"/>
      <c r="F27" s="51"/>
      <c r="G27" s="1"/>
    </row>
    <row r="28" spans="1:7" x14ac:dyDescent="0.25">
      <c r="A28" s="1"/>
      <c r="B28" s="53"/>
      <c r="C28" s="54"/>
      <c r="D28" s="55"/>
      <c r="E28" s="54"/>
      <c r="F28" s="55"/>
      <c r="G28" s="1"/>
    </row>
    <row r="29" spans="1:7" x14ac:dyDescent="0.25">
      <c r="A29" s="1"/>
      <c r="B29" s="53"/>
      <c r="C29" s="54"/>
      <c r="D29" s="55"/>
      <c r="E29" s="54"/>
      <c r="F29" s="55"/>
      <c r="G29" s="1"/>
    </row>
    <row r="30" spans="1:7" x14ac:dyDescent="0.25">
      <c r="A30" s="1"/>
      <c r="B30" s="46"/>
      <c r="C30" s="46"/>
      <c r="D30" s="46"/>
      <c r="E30" s="46"/>
      <c r="F30" s="46"/>
      <c r="G30" s="1"/>
    </row>
    <row r="31" spans="1:7" x14ac:dyDescent="0.25">
      <c r="A31" s="1"/>
      <c r="B31" s="127"/>
      <c r="C31" s="127"/>
      <c r="D31" s="127"/>
      <c r="E31" s="127"/>
      <c r="F31" s="127"/>
      <c r="G31" s="1"/>
    </row>
    <row r="32" spans="1:7" x14ac:dyDescent="0.25">
      <c r="A32" s="1"/>
      <c r="B32" s="47"/>
      <c r="C32" s="47"/>
      <c r="D32" s="47"/>
      <c r="E32" s="47"/>
      <c r="F32" s="48"/>
      <c r="G32" s="1"/>
    </row>
    <row r="33" spans="1:7" x14ac:dyDescent="0.25">
      <c r="A33" s="1"/>
      <c r="B33" s="49"/>
      <c r="C33" s="50"/>
      <c r="D33" s="51"/>
      <c r="E33" s="52"/>
      <c r="F33" s="51"/>
      <c r="G33" s="1"/>
    </row>
    <row r="34" spans="1:7" x14ac:dyDescent="0.25">
      <c r="A34" s="1"/>
      <c r="B34" s="49"/>
      <c r="C34" s="50"/>
      <c r="D34" s="51"/>
      <c r="E34" s="52"/>
      <c r="F34" s="51"/>
      <c r="G34" s="1"/>
    </row>
    <row r="35" spans="1:7" x14ac:dyDescent="0.25">
      <c r="A35" s="1"/>
      <c r="B35" s="53"/>
      <c r="C35" s="54"/>
      <c r="D35" s="55"/>
      <c r="E35" s="54"/>
      <c r="F35" s="55"/>
      <c r="G35" s="1"/>
    </row>
    <row r="36" spans="1:7" x14ac:dyDescent="0.25">
      <c r="A36" s="1"/>
      <c r="B36" s="53"/>
      <c r="C36" s="54"/>
      <c r="D36" s="55"/>
      <c r="E36" s="54"/>
      <c r="F36" s="55"/>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row r="52" spans="1:7" x14ac:dyDescent="0.25"/>
  </sheetData>
  <sheetProtection algorithmName="SHA-512" hashValue="o8yOuX1C+6HOum3NIjDTDOVA6OpCp4gNH50t+vtlDGSQ61XKB01KkbYesNjs2Gsh8igRr2LiNP/Opmsh0I9ZDA==" saltValue="xgzVk4vjJYJKB0rQA6yjQA==" spinCount="100000" sheet="1" objects="1" scenarios="1"/>
  <mergeCells count="4">
    <mergeCell ref="B31:F31"/>
    <mergeCell ref="B3:F4"/>
    <mergeCell ref="B8:F8"/>
    <mergeCell ref="B18:F18"/>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116</v>
      </c>
      <c r="C3" s="106"/>
      <c r="D3" s="106"/>
      <c r="E3" s="1"/>
    </row>
    <row r="4" spans="1:5" ht="15" customHeight="1" x14ac:dyDescent="0.25">
      <c r="A4" s="1"/>
      <c r="B4" s="106"/>
      <c r="C4" s="106"/>
      <c r="D4" s="106"/>
      <c r="E4" s="1"/>
    </row>
    <row r="5" spans="1:5" x14ac:dyDescent="0.25">
      <c r="A5" s="1"/>
      <c r="B5" s="106"/>
      <c r="C5" s="106"/>
      <c r="D5" s="106"/>
      <c r="E5" s="1"/>
    </row>
    <row r="6" spans="1:5" x14ac:dyDescent="0.25">
      <c r="A6" s="1"/>
      <c r="B6" s="1"/>
      <c r="C6" s="1"/>
      <c r="D6" s="1"/>
      <c r="E6" s="1"/>
    </row>
    <row r="7" spans="1:5" x14ac:dyDescent="0.25">
      <c r="A7" s="1"/>
      <c r="B7" s="1"/>
      <c r="C7" s="1"/>
      <c r="D7" s="1"/>
      <c r="E7" s="1"/>
    </row>
    <row r="8" spans="1:5" ht="14.25" customHeight="1" x14ac:dyDescent="0.25">
      <c r="A8" s="1"/>
      <c r="B8" s="108" t="s">
        <v>73</v>
      </c>
      <c r="C8" s="109"/>
      <c r="D8" s="110"/>
      <c r="E8" s="1"/>
    </row>
    <row r="9" spans="1:5" x14ac:dyDescent="0.25">
      <c r="A9" s="1"/>
      <c r="B9" s="68" t="s">
        <v>179</v>
      </c>
      <c r="C9" s="9">
        <f>1982087.54399339*(1+'Fane 15. Nøgletal'!C9)</f>
        <v>2142240.2175480556</v>
      </c>
      <c r="D9" s="14" t="s">
        <v>3</v>
      </c>
      <c r="E9" s="1"/>
    </row>
    <row r="10" spans="1:5" x14ac:dyDescent="0.25">
      <c r="A10" s="1"/>
      <c r="B10" s="64" t="s">
        <v>10</v>
      </c>
      <c r="C10" s="9">
        <f>-C9*'Fane 5. Individuelt eff. krav'!C9</f>
        <v>-6361.8887938683629</v>
      </c>
      <c r="D10" s="14" t="s">
        <v>3</v>
      </c>
      <c r="E10" s="1"/>
    </row>
    <row r="11" spans="1:5" x14ac:dyDescent="0.25">
      <c r="A11" s="1"/>
      <c r="B11" s="64" t="s">
        <v>22</v>
      </c>
      <c r="C11" s="9">
        <f>-C9*'Fane 15. Nøgletal'!C21</f>
        <v>-42844.804350961109</v>
      </c>
      <c r="D11" s="14" t="s">
        <v>3</v>
      </c>
      <c r="E11" s="1"/>
    </row>
    <row r="12" spans="1:5" x14ac:dyDescent="0.25">
      <c r="A12" s="1"/>
      <c r="B12" s="76" t="s">
        <v>74</v>
      </c>
      <c r="C12" s="12">
        <f>SUM(C9:C11)*(1+'Fane 15. Nøgletal'!C9)^2</f>
        <v>2444932.4043355472</v>
      </c>
      <c r="D12" s="13" t="s">
        <v>3</v>
      </c>
      <c r="E12" s="1"/>
    </row>
    <row r="13" spans="1:5" x14ac:dyDescent="0.25">
      <c r="A13" s="1"/>
      <c r="B13" s="1"/>
      <c r="C13" s="1"/>
      <c r="D13" s="1"/>
      <c r="E13" s="1"/>
    </row>
    <row r="14" spans="1:5" ht="15" customHeight="1" x14ac:dyDescent="0.25">
      <c r="A14" s="1"/>
      <c r="B14" s="108" t="s">
        <v>84</v>
      </c>
      <c r="C14" s="109"/>
      <c r="D14" s="110"/>
      <c r="E14" s="1"/>
    </row>
    <row r="15" spans="1:5" x14ac:dyDescent="0.25">
      <c r="A15" s="1"/>
      <c r="B15" s="68" t="s">
        <v>179</v>
      </c>
      <c r="C15" s="9">
        <v>2052649.8605595496</v>
      </c>
      <c r="D15" s="14" t="s">
        <v>3</v>
      </c>
      <c r="E15" s="1"/>
    </row>
    <row r="16" spans="1:5" x14ac:dyDescent="0.25">
      <c r="A16" s="1"/>
      <c r="B16" s="64" t="s">
        <v>10</v>
      </c>
      <c r="C16" s="9">
        <f>-C15*'Fane 5. Individuelt eff. krav'!C9</f>
        <v>-6095.8290478627505</v>
      </c>
      <c r="D16" s="14" t="s">
        <v>3</v>
      </c>
      <c r="E16" s="1"/>
    </row>
    <row r="17" spans="1:5" x14ac:dyDescent="0.25">
      <c r="A17" s="1"/>
      <c r="B17" s="64" t="s">
        <v>22</v>
      </c>
      <c r="C17" s="9">
        <f>-C15*'Fane 15. Nøgletal'!C21</f>
        <v>-41052.997211190996</v>
      </c>
      <c r="D17" s="14" t="s">
        <v>3</v>
      </c>
      <c r="E17" s="1"/>
    </row>
    <row r="18" spans="1:5" x14ac:dyDescent="0.25">
      <c r="A18" s="1"/>
      <c r="B18" s="76" t="s">
        <v>85</v>
      </c>
      <c r="C18" s="12">
        <f>SUM(C15:C17)*(1+'Fane 15. Nøgletal'!C10)^3</f>
        <v>2431426.3442310467</v>
      </c>
      <c r="D18" s="13" t="s">
        <v>3</v>
      </c>
      <c r="E18" s="1"/>
    </row>
    <row r="19" spans="1:5" x14ac:dyDescent="0.25">
      <c r="A19" s="1"/>
      <c r="B19" s="1"/>
      <c r="C19" s="1"/>
      <c r="D19" s="1"/>
      <c r="E19" s="1"/>
    </row>
    <row r="20" spans="1:5" ht="15" customHeight="1" x14ac:dyDescent="0.25">
      <c r="A20" s="1"/>
      <c r="B20" s="108" t="s">
        <v>140</v>
      </c>
      <c r="C20" s="109"/>
      <c r="D20" s="110"/>
      <c r="E20" s="1"/>
    </row>
    <row r="21" spans="1:5" x14ac:dyDescent="0.25">
      <c r="A21" s="1"/>
      <c r="B21" s="68" t="s">
        <v>179</v>
      </c>
      <c r="C21" s="9">
        <v>2052649.8605595496</v>
      </c>
      <c r="D21" s="14" t="s">
        <v>3</v>
      </c>
      <c r="E21" s="1"/>
    </row>
    <row r="22" spans="1:5" x14ac:dyDescent="0.25">
      <c r="A22" s="1"/>
      <c r="B22" s="64" t="s">
        <v>10</v>
      </c>
      <c r="C22" s="9">
        <f>-C21*'Fane 5. Individuelt eff. krav'!C9</f>
        <v>-6095.8290478627505</v>
      </c>
      <c r="D22" s="14" t="s">
        <v>3</v>
      </c>
      <c r="E22" s="1"/>
    </row>
    <row r="23" spans="1:5" x14ac:dyDescent="0.25">
      <c r="A23" s="1"/>
      <c r="B23" s="64" t="s">
        <v>22</v>
      </c>
      <c r="C23" s="9">
        <f>-C21*'Fane 15. Nøgletal'!C21</f>
        <v>-41052.997211190996</v>
      </c>
      <c r="D23" s="14" t="s">
        <v>3</v>
      </c>
      <c r="E23" s="1"/>
    </row>
    <row r="24" spans="1:5" x14ac:dyDescent="0.25">
      <c r="A24" s="1"/>
      <c r="B24" s="76" t="s">
        <v>141</v>
      </c>
      <c r="C24" s="12">
        <f>SUM(C21:C23)*(1+'Fane 15. Nøgletal'!C10)^4</f>
        <v>2592629.9108535647</v>
      </c>
      <c r="D24" s="13" t="s">
        <v>3</v>
      </c>
      <c r="E24" s="1"/>
    </row>
    <row r="25" spans="1:5" x14ac:dyDescent="0.25">
      <c r="A25" s="1"/>
      <c r="B25" s="1"/>
      <c r="C25" s="1"/>
      <c r="D25" s="1"/>
      <c r="E25" s="1"/>
    </row>
    <row r="26" spans="1:5" ht="15" customHeight="1" x14ac:dyDescent="0.25">
      <c r="A26" s="1"/>
      <c r="B26" s="108" t="s">
        <v>180</v>
      </c>
      <c r="C26" s="109"/>
      <c r="D26" s="110"/>
      <c r="E26" s="1"/>
    </row>
    <row r="27" spans="1:5" ht="14.25" customHeight="1" x14ac:dyDescent="0.25">
      <c r="A27" s="1"/>
      <c r="B27" s="68" t="s">
        <v>179</v>
      </c>
      <c r="C27" s="9">
        <v>2052649.8605595496</v>
      </c>
      <c r="D27" s="14" t="s">
        <v>3</v>
      </c>
      <c r="E27" s="1"/>
    </row>
    <row r="28" spans="1:5" x14ac:dyDescent="0.25">
      <c r="A28" s="1"/>
      <c r="B28" s="64" t="s">
        <v>10</v>
      </c>
      <c r="C28" s="9">
        <f>-C27*'Fane 5. Individuelt eff. krav'!C9</f>
        <v>-6095.8290478627505</v>
      </c>
      <c r="D28" s="14" t="s">
        <v>3</v>
      </c>
      <c r="E28" s="1"/>
    </row>
    <row r="29" spans="1:5" x14ac:dyDescent="0.25">
      <c r="A29" s="1"/>
      <c r="B29" s="64" t="s">
        <v>22</v>
      </c>
      <c r="C29" s="9">
        <f>-C27*'Fane 15. Nøgletal'!C21</f>
        <v>-41052.997211190996</v>
      </c>
      <c r="D29" s="14" t="s">
        <v>3</v>
      </c>
      <c r="E29" s="1"/>
    </row>
    <row r="30" spans="1:5" x14ac:dyDescent="0.25">
      <c r="A30" s="1"/>
      <c r="B30" s="76" t="s">
        <v>181</v>
      </c>
      <c r="C30" s="12">
        <f>SUM(C27:C29)*(1+'Fane 15. Nøgletal'!C10)^5</f>
        <v>2764521.2739431565</v>
      </c>
      <c r="D30" s="13" t="s">
        <v>3</v>
      </c>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OE8Z5+GmIxGf3SF3ThIzmnPX/AxaJX9cOYwOcv97S/rOobLVKR3DngQBe1qrpK7id/TFJqBkw0MvkXbpcd7vLg==" saltValue="Q9jWpJo3/GWWQhcx8bqf0w==" spinCount="100000" sheet="1" objects="1" scenarios="1"/>
  <mergeCells count="5">
    <mergeCell ref="B26:D26"/>
    <mergeCell ref="B20:D20"/>
    <mergeCell ref="B3:D5"/>
    <mergeCell ref="B14:D14"/>
    <mergeCell ref="B8:D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6" t="s">
        <v>117</v>
      </c>
      <c r="C3" s="106"/>
      <c r="D3" s="106"/>
      <c r="E3" s="106"/>
      <c r="F3" s="106"/>
      <c r="G3" s="1"/>
    </row>
    <row r="4" spans="1:7" ht="15" customHeight="1" x14ac:dyDescent="0.25">
      <c r="A4" s="1"/>
      <c r="B4" s="106"/>
      <c r="C4" s="106"/>
      <c r="D4" s="106"/>
      <c r="E4" s="106"/>
      <c r="F4" s="106"/>
      <c r="G4" s="1"/>
    </row>
    <row r="5" spans="1:7" x14ac:dyDescent="0.25">
      <c r="A5" s="1"/>
      <c r="B5" s="106"/>
      <c r="C5" s="106"/>
      <c r="D5" s="106"/>
      <c r="E5" s="106"/>
      <c r="F5" s="106"/>
      <c r="G5" s="1"/>
    </row>
    <row r="6" spans="1:7" x14ac:dyDescent="0.25">
      <c r="A6" s="1"/>
      <c r="B6" s="1"/>
      <c r="C6" s="1"/>
      <c r="D6" s="1"/>
      <c r="E6" s="1"/>
      <c r="F6" s="1"/>
      <c r="G6" s="1"/>
    </row>
    <row r="7" spans="1:7" x14ac:dyDescent="0.25">
      <c r="A7" s="1"/>
      <c r="B7" s="1"/>
      <c r="C7" s="1"/>
      <c r="D7" s="1"/>
      <c r="E7" s="1"/>
      <c r="F7" s="1"/>
      <c r="G7" s="1"/>
    </row>
    <row r="8" spans="1:7" x14ac:dyDescent="0.25">
      <c r="A8" s="1"/>
      <c r="B8" s="108" t="s">
        <v>66</v>
      </c>
      <c r="C8" s="109"/>
      <c r="D8" s="109"/>
      <c r="E8" s="109"/>
      <c r="F8" s="110"/>
      <c r="G8" s="1"/>
    </row>
    <row r="9" spans="1:7" ht="15" customHeight="1" x14ac:dyDescent="0.25">
      <c r="A9" s="1"/>
      <c r="B9" s="31" t="s">
        <v>67</v>
      </c>
      <c r="C9" s="27" t="s">
        <v>11</v>
      </c>
      <c r="D9" s="32"/>
      <c r="E9" s="27" t="s">
        <v>27</v>
      </c>
      <c r="F9" s="32"/>
      <c r="G9" s="1"/>
    </row>
    <row r="10" spans="1:7" ht="26.25" x14ac:dyDescent="0.25">
      <c r="A10" s="1"/>
      <c r="B10" s="70" t="s">
        <v>220</v>
      </c>
      <c r="C10" s="9">
        <v>0</v>
      </c>
      <c r="D10" s="14" t="s">
        <v>3</v>
      </c>
      <c r="E10" s="9">
        <v>0</v>
      </c>
      <c r="F10" s="14" t="s">
        <v>3</v>
      </c>
      <c r="G10" s="1"/>
    </row>
    <row r="11" spans="1:7" ht="28.5" customHeight="1" x14ac:dyDescent="0.25">
      <c r="A11" s="1"/>
      <c r="B11" s="20" t="s">
        <v>142</v>
      </c>
      <c r="C11" s="12">
        <f>SUM(C10:C10)</f>
        <v>0</v>
      </c>
      <c r="D11" s="13" t="s">
        <v>3</v>
      </c>
      <c r="E11" s="12">
        <f>SUM(E10:E10)</f>
        <v>0</v>
      </c>
      <c r="F11" s="13" t="s">
        <v>3</v>
      </c>
      <c r="G11" s="1"/>
    </row>
    <row r="12" spans="1:7" ht="27" customHeight="1" x14ac:dyDescent="0.25">
      <c r="A12" s="1"/>
      <c r="B12" s="20" t="s">
        <v>182</v>
      </c>
      <c r="C12" s="12">
        <f>C11*(1+'Fane 15. Nøgletal'!C10)</f>
        <v>0</v>
      </c>
      <c r="D12" s="13" t="s">
        <v>3</v>
      </c>
      <c r="E12" s="12">
        <f>E11*(1+'Fane 15. Nøgletal'!C10)</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hidden="1" x14ac:dyDescent="0.25"/>
    <row r="47" spans="1:7" hidden="1" x14ac:dyDescent="0.25"/>
  </sheetData>
  <sheetProtection algorithmName="SHA-512" hashValue="TakNUQgiBFu0b3tLLxSrvevWyYs1Bfjly5cTveSGlUGBugw43OtCBIaXZD+ELpEYmCqf81VbvC9CNxNnyCBoGA==" saltValue="KSDJiFOUjUTxGVWC3H5POA==" spinCount="100000" sheet="1" objects="1" scenarios="1"/>
  <mergeCells count="2">
    <mergeCell ref="B8:F8"/>
    <mergeCell ref="B3: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zoomScaleNormal="100" workbookViewId="0"/>
  </sheetViews>
  <sheetFormatPr defaultColWidth="0" defaultRowHeight="15" zeroHeight="1" x14ac:dyDescent="0.25"/>
  <cols>
    <col min="1" max="1" width="5.140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140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6" t="s">
        <v>118</v>
      </c>
      <c r="C3" s="106"/>
      <c r="D3" s="106"/>
      <c r="E3" s="106"/>
      <c r="F3" s="106"/>
      <c r="G3" s="1"/>
    </row>
    <row r="4" spans="1:7" ht="15" customHeight="1" x14ac:dyDescent="0.25">
      <c r="A4" s="1"/>
      <c r="B4" s="106"/>
      <c r="C4" s="106"/>
      <c r="D4" s="106"/>
      <c r="E4" s="106"/>
      <c r="F4" s="106"/>
      <c r="G4" s="1"/>
    </row>
    <row r="5" spans="1:7" x14ac:dyDescent="0.25">
      <c r="A5" s="1"/>
      <c r="B5" s="106"/>
      <c r="C5" s="106"/>
      <c r="D5" s="106"/>
      <c r="E5" s="106"/>
      <c r="F5" s="106"/>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108" t="s">
        <v>183</v>
      </c>
      <c r="C8" s="109"/>
      <c r="D8" s="109"/>
      <c r="E8" s="109"/>
      <c r="F8" s="110"/>
      <c r="G8" s="1"/>
    </row>
    <row r="9" spans="1:7" x14ac:dyDescent="0.25">
      <c r="A9" s="1"/>
      <c r="B9" s="31" t="s">
        <v>18</v>
      </c>
      <c r="C9" s="128" t="s">
        <v>11</v>
      </c>
      <c r="D9" s="129"/>
      <c r="E9" s="128" t="s">
        <v>27</v>
      </c>
      <c r="F9" s="129"/>
      <c r="G9" s="1"/>
    </row>
    <row r="10" spans="1:7" x14ac:dyDescent="0.25">
      <c r="A10" s="1"/>
      <c r="B10" s="70" t="s">
        <v>221</v>
      </c>
      <c r="C10" s="9">
        <v>0</v>
      </c>
      <c r="D10" s="14" t="s">
        <v>3</v>
      </c>
      <c r="E10" s="9">
        <v>0</v>
      </c>
      <c r="F10" s="14" t="s">
        <v>3</v>
      </c>
      <c r="G10" s="1"/>
    </row>
    <row r="11" spans="1:7" x14ac:dyDescent="0.25">
      <c r="A11" s="1"/>
      <c r="B11" s="33" t="s">
        <v>143</v>
      </c>
      <c r="C11" s="12">
        <f>SUM(C10:C10)</f>
        <v>0</v>
      </c>
      <c r="D11" s="13" t="s">
        <v>3</v>
      </c>
      <c r="E11" s="12">
        <f>SUM(E10:E10)</f>
        <v>0</v>
      </c>
      <c r="F11" s="13" t="s">
        <v>3</v>
      </c>
      <c r="G11" s="1"/>
    </row>
    <row r="12" spans="1:7" x14ac:dyDescent="0.25">
      <c r="A12" s="1"/>
      <c r="B12" s="33" t="s">
        <v>214</v>
      </c>
      <c r="C12" s="12">
        <f>C11*(1+'Fane 15. Nøgletal'!C10)^2</f>
        <v>0</v>
      </c>
      <c r="D12" s="13" t="s">
        <v>3</v>
      </c>
      <c r="E12" s="12">
        <f>E11*(1+'Fane 15. Nøgletal'!C10)^2</f>
        <v>0</v>
      </c>
      <c r="F12" s="13" t="s">
        <v>3</v>
      </c>
      <c r="G12" s="1"/>
    </row>
    <row r="13" spans="1:7" x14ac:dyDescent="0.25">
      <c r="A13" s="1"/>
      <c r="B13" s="1"/>
      <c r="C13" s="1"/>
      <c r="D13" s="1"/>
      <c r="E13" s="1"/>
      <c r="F13" s="1"/>
      <c r="G13" s="1"/>
    </row>
    <row r="14" spans="1:7" x14ac:dyDescent="0.25">
      <c r="A14" s="1"/>
      <c r="B14" s="127"/>
      <c r="C14" s="127"/>
      <c r="D14" s="127"/>
      <c r="E14" s="127"/>
      <c r="F14" s="127"/>
      <c r="G14" s="1"/>
    </row>
    <row r="15" spans="1:7" x14ac:dyDescent="0.25">
      <c r="A15" s="1"/>
      <c r="B15" s="48"/>
      <c r="C15" s="48"/>
      <c r="D15" s="48"/>
      <c r="E15" s="48"/>
      <c r="F15" s="48"/>
      <c r="G15" s="1"/>
    </row>
    <row r="16" spans="1:7" x14ac:dyDescent="0.25">
      <c r="A16" s="1"/>
      <c r="B16" s="49"/>
      <c r="C16" s="52"/>
      <c r="D16" s="51"/>
      <c r="E16" s="52"/>
      <c r="F16" s="51"/>
      <c r="G16" s="1"/>
    </row>
    <row r="17" spans="1:7" x14ac:dyDescent="0.25">
      <c r="A17" s="1"/>
      <c r="B17" s="49"/>
      <c r="C17" s="52"/>
      <c r="D17" s="51"/>
      <c r="E17" s="52"/>
      <c r="F17" s="51"/>
      <c r="G17" s="1"/>
    </row>
    <row r="18" spans="1:7" x14ac:dyDescent="0.25">
      <c r="A18" s="1"/>
      <c r="B18" s="53"/>
      <c r="C18" s="54"/>
      <c r="D18" s="55"/>
      <c r="E18" s="54"/>
      <c r="F18" s="55"/>
      <c r="G18" s="1"/>
    </row>
    <row r="19" spans="1:7" x14ac:dyDescent="0.25">
      <c r="A19" s="1"/>
      <c r="B19" s="53"/>
      <c r="C19" s="54"/>
      <c r="D19" s="55"/>
      <c r="E19" s="54"/>
      <c r="F19" s="55"/>
      <c r="G19" s="1"/>
    </row>
    <row r="20" spans="1:7" x14ac:dyDescent="0.25">
      <c r="A20" s="1"/>
      <c r="B20" s="46"/>
      <c r="C20" s="46"/>
      <c r="D20" s="46"/>
      <c r="E20" s="46"/>
      <c r="F20" s="46"/>
      <c r="G20" s="1"/>
    </row>
    <row r="21" spans="1:7" x14ac:dyDescent="0.25">
      <c r="A21" s="1"/>
      <c r="B21" s="127"/>
      <c r="C21" s="127"/>
      <c r="D21" s="127"/>
      <c r="E21" s="127"/>
      <c r="F21" s="127"/>
      <c r="G21" s="1"/>
    </row>
    <row r="22" spans="1:7" x14ac:dyDescent="0.25">
      <c r="A22" s="1"/>
      <c r="B22" s="48"/>
      <c r="C22" s="48"/>
      <c r="D22" s="48"/>
      <c r="E22" s="48"/>
      <c r="F22" s="48"/>
      <c r="G22" s="1"/>
    </row>
    <row r="23" spans="1:7" x14ac:dyDescent="0.25">
      <c r="A23" s="1"/>
      <c r="B23" s="49"/>
      <c r="C23" s="52"/>
      <c r="D23" s="51"/>
      <c r="E23" s="52"/>
      <c r="F23" s="51"/>
      <c r="G23" s="1"/>
    </row>
    <row r="24" spans="1:7" x14ac:dyDescent="0.25">
      <c r="A24" s="1"/>
      <c r="B24" s="53"/>
      <c r="C24" s="54"/>
      <c r="D24" s="55"/>
      <c r="E24" s="54"/>
      <c r="F24" s="55"/>
      <c r="G24" s="1"/>
    </row>
    <row r="25" spans="1:7" x14ac:dyDescent="0.25">
      <c r="A25" s="1"/>
      <c r="B25" s="53"/>
      <c r="C25" s="54"/>
      <c r="D25" s="55"/>
      <c r="E25" s="54"/>
      <c r="F25" s="55"/>
      <c r="G25" s="1"/>
    </row>
    <row r="26" spans="1:7" x14ac:dyDescent="0.25">
      <c r="A26" s="1"/>
      <c r="B26" s="46"/>
      <c r="C26" s="46"/>
      <c r="D26" s="46"/>
      <c r="E26" s="46"/>
      <c r="F26" s="46"/>
      <c r="G26" s="1"/>
    </row>
    <row r="27" spans="1:7" x14ac:dyDescent="0.25">
      <c r="A27" s="1"/>
      <c r="B27" s="127"/>
      <c r="C27" s="127"/>
      <c r="D27" s="127"/>
      <c r="E27" s="127"/>
      <c r="F27" s="127"/>
      <c r="G27" s="1"/>
    </row>
    <row r="28" spans="1:7" x14ac:dyDescent="0.25">
      <c r="A28" s="1"/>
      <c r="B28" s="48"/>
      <c r="C28" s="48"/>
      <c r="D28" s="48"/>
      <c r="E28" s="48"/>
      <c r="F28" s="48"/>
      <c r="G28" s="1"/>
    </row>
    <row r="29" spans="1:7" x14ac:dyDescent="0.25">
      <c r="A29" s="1"/>
      <c r="B29" s="49"/>
      <c r="C29" s="52"/>
      <c r="D29" s="51"/>
      <c r="E29" s="52"/>
      <c r="F29" s="51"/>
      <c r="G29" s="1"/>
    </row>
    <row r="30" spans="1:7" x14ac:dyDescent="0.25">
      <c r="A30" s="1"/>
      <c r="B30" s="53"/>
      <c r="C30" s="54"/>
      <c r="D30" s="55"/>
      <c r="E30" s="54"/>
      <c r="F30" s="55"/>
      <c r="G30" s="1"/>
    </row>
    <row r="31" spans="1:7" x14ac:dyDescent="0.25">
      <c r="A31" s="1"/>
      <c r="B31" s="53"/>
      <c r="C31" s="54"/>
      <c r="D31" s="55"/>
      <c r="E31" s="54"/>
      <c r="F31" s="55"/>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vfGHzsNwyUeS7yiutLf5WBNLmf9DcSyGIH2ODK2OC1Qax8FLWZ8z8FqCCx7AnGpVSxZP/bjVJgWVKE5epCM2eA==" saltValue="1wwTPNKt3qsyeabqrCUh8g==" spinCount="100000" sheet="1" objects="1" scenarios="1"/>
  <mergeCells count="7">
    <mergeCell ref="B3:F5"/>
    <mergeCell ref="B27:F27"/>
    <mergeCell ref="B8:F8"/>
    <mergeCell ref="B14:F14"/>
    <mergeCell ref="B21:F21"/>
    <mergeCell ref="E9:F9"/>
    <mergeCell ref="C9: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49"/>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6" t="s">
        <v>119</v>
      </c>
      <c r="C3" s="106"/>
      <c r="D3" s="1"/>
    </row>
    <row r="4" spans="1:4" ht="15" customHeight="1" x14ac:dyDescent="0.25">
      <c r="A4" s="1"/>
      <c r="B4" s="106"/>
      <c r="C4" s="106"/>
      <c r="D4" s="1"/>
    </row>
    <row r="5" spans="1:4" ht="15" customHeight="1"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59" t="s">
        <v>122</v>
      </c>
      <c r="C9" s="61">
        <v>8.0799999999999997E-2</v>
      </c>
      <c r="D9" s="1"/>
    </row>
    <row r="10" spans="1:4" x14ac:dyDescent="0.25">
      <c r="A10" s="1"/>
      <c r="B10" s="59" t="s">
        <v>224</v>
      </c>
      <c r="C10" s="61">
        <v>6.6299999999999998E-2</v>
      </c>
      <c r="D10" s="1"/>
    </row>
    <row r="11" spans="1:4" x14ac:dyDescent="0.25">
      <c r="A11" s="1"/>
      <c r="B11" s="33"/>
      <c r="C11" s="19"/>
      <c r="D11" s="1"/>
    </row>
    <row r="12" spans="1:4" x14ac:dyDescent="0.25">
      <c r="A12" s="1"/>
      <c r="B12" s="1"/>
      <c r="C12" s="1"/>
      <c r="D12" s="1"/>
    </row>
    <row r="13" spans="1:4" x14ac:dyDescent="0.25">
      <c r="A13" s="1"/>
      <c r="B13" s="1"/>
      <c r="C13" s="1"/>
      <c r="D13" s="1"/>
    </row>
    <row r="14" spans="1:4" x14ac:dyDescent="0.25">
      <c r="A14" s="1"/>
      <c r="B14" s="33" t="s">
        <v>50</v>
      </c>
      <c r="C14" s="19"/>
      <c r="D14" s="1"/>
    </row>
    <row r="15" spans="1:4" x14ac:dyDescent="0.25">
      <c r="A15" s="1"/>
      <c r="B15" s="59" t="s">
        <v>213</v>
      </c>
      <c r="C15" s="60">
        <v>0</v>
      </c>
      <c r="D15" s="1"/>
    </row>
    <row r="16" spans="1:4" x14ac:dyDescent="0.25">
      <c r="A16" s="1"/>
      <c r="B16" s="59" t="s">
        <v>225</v>
      </c>
      <c r="C16" s="22">
        <v>0</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51</v>
      </c>
      <c r="C20" s="19"/>
      <c r="D20" s="1"/>
    </row>
    <row r="21" spans="1:4" x14ac:dyDescent="0.25">
      <c r="A21" s="1"/>
      <c r="B21" s="37" t="s">
        <v>59</v>
      </c>
      <c r="C21" s="25">
        <v>0.02</v>
      </c>
      <c r="D21" s="1"/>
    </row>
    <row r="22" spans="1:4" x14ac:dyDescent="0.25">
      <c r="A22" s="1"/>
      <c r="B22" s="33"/>
      <c r="C22" s="19"/>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hidden="1" x14ac:dyDescent="0.25"/>
  </sheetData>
  <sheetProtection algorithmName="SHA-512" hashValue="IauH6ZZRhRVV2uE8JfNzvWajaaTqhb5xjaU0iwhUyTNBEraTCZeiZ7SNLmK9NptW2eKwU/YiAPGjwZg/sUGaHA==" saltValue="PjQ8kMZm2KCVz7Jzl2vCVw=="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19</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Korrektion af ØR2023</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Fane21</vt:lpstr>
      <vt:lpstr>Fane21total</vt:lpstr>
      <vt:lpstr>Fane22</vt:lpstr>
      <vt:lpstr>Fane22total</vt:lpstr>
      <vt:lpstr>Fane23</vt:lpstr>
      <vt:lpstr>Fane23total</vt:lpstr>
      <vt:lpstr>Fane24</vt:lpstr>
      <vt:lpstr>Fane24total</vt:lpstr>
      <vt:lpstr>Fane3total</vt:lpstr>
      <vt:lpstr>Tabel_Fane_13</vt:lpstr>
      <vt:lpstr>Tabel_Fane_14</vt:lpstr>
      <vt:lpstr>Tabel_Fane_2_1</vt:lpstr>
      <vt:lpstr>Tabel_Fane_2_2</vt:lpstr>
      <vt:lpstr>Tabel_Fane_2_3</vt:lpstr>
      <vt:lpstr>Tabel_Fane_2_4</vt:lpstr>
      <vt:lpstr>Tabel_Fane_3</vt:lpstr>
      <vt:lpstr>ØR25total</vt:lpstr>
      <vt:lpstr>ØR26total</vt:lpstr>
      <vt:lpstr>ØR27total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2024-05-06T07:45:39Z</cp:lastPrinted>
  <dcterms:created xsi:type="dcterms:W3CDTF">2016-06-02T08:51:18Z</dcterms:created>
  <dcterms:modified xsi:type="dcterms:W3CDTF">2024-10-09T07:33:31Z</dcterms:modified>
</cp:coreProperties>
</file>