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FV Spildevand AS (S020)\ØR2023\"/>
    </mc:Choice>
  </mc:AlternateContent>
  <bookViews>
    <workbookView xWindow="3120" yWindow="990" windowWidth="12750" windowHeight="4620" tabRatio="872" firstSheet="10" activeTab="1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E24" i="32" l="1"/>
  <c r="E32" i="32" s="1"/>
  <c r="E34" i="32" s="1"/>
  <c r="C20" i="23" l="1"/>
  <c r="C20" i="22"/>
  <c r="C20" i="15"/>
  <c r="E28" i="32"/>
  <c r="C32" i="2" s="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<sst xmlns="http://schemas.openxmlformats.org/spreadsheetml/2006/main" count="615" uniqueCount="291">
  <si>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</si>
  <si>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</si>
  <si>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</si>
  <si>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</si>
  <si>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</si>
  <si>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</si>
  <si>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</si>
  <si>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</si>
  <si>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</si>
  <si>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</si>
  <si>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</si>
  <si>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</si>
  <si>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</si>
  <si>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</si>
  <si>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</si>
  <si>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</si>
  <si>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</si>
  <si>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</si>
  <si>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</si>
  <si>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</si>
  <si>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</si>
  <si>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</si>
  <si>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</si>
  <si>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</si>
  <si>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</si>
  <si>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</si>
  <si>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</si>
  <si>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</si>
  <si>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</si>
  <si>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</si>
  <si>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</si>
  <si>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</si>
  <si>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</si>
  <si>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</si>
  <si>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</si>
  <si>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</si>
  <si>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</si>
  <si>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</si>
  <si>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</si>
  <si>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</si>
  <si>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</si>
  <si>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</si>
  <si>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</si>
  <si>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</si>
  <si>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</si>
  <si>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</si>
  <si>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</si>
  <si>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</si>
  <si>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</si>
  <si>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</si>
  <si>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</si>
  <si>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</si>
  <si>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</si>
  <si>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</si>
  <si>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</si>
  <si>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</si>
  <si>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</si>
  <si>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</si>
  <si>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</si>
  <si>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</si>
  <si>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</si>
  <si>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</si>
  <si>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</si>
  <si>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</si>
  <si>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</si>
  <si>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</si>
  <si>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</si>
  <si>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</si>
  <si>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</si>
  <si>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</si>
  <si>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</si>
  <si>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</si>
  <si>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</si>
  <si>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</si>
  <si>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</si>
  <si>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</si>
  <si>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</si>
  <si>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</si>
  <si>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</si>
  <si>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</si>
  <si>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</si>
  <si>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</si>
  <si>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</si>
  <si>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</si>
  <si>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</si>
  <si>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</si>
  <si>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</si>
  <si>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</si>
  <si>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</si>
  <si>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</si>
  <si>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</si>
  <si>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</si>
  <si>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</si>
  <si>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</si>
  <si>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</si>
  <si>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</si>
  <si>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</si>
  <si>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</si>
  <si>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</si>
  <si>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</si>
  <si>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</si>
  <si>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</si>
  <si>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</si>
  <si>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</si>
  <si>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</si>
  <si>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</si>
  <si>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</si>
  <si>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</si>
  <si>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</si>
  <si>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</si>
  <si>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</si>
  <si>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</si>
  <si>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</si>
  <si>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</si>
  <si>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</si>
  <si>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</si>
  <si>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</si>
  <si>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</si>
  <si>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</si>
  <si>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</si>
  <si>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</si>
  <si>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</si>
  <si>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</si>
  <si>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</si>
  <si>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</si>
  <si>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</si>
  <si>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</si>
  <si>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</si>
  <si>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</si>
  <si>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</si>
  <si>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</si>
  <si>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</si>
  <si>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</si>
  <si>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</si>
  <si>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</si>
  <si>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</si>
  <si>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</si>
  <si>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</si>
  <si>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</si>
  <si>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</si>
  <si>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</si>
  <si>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</si>
  <si>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</si>
  <si>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</si>
  <si>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</si>
  <si>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</si>
  <si>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</si>
  <si>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</si>
  <si>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</si>
  <si>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</si>
  <si>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</si>
  <si>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</si>
  <si>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</si>
  <si>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</si>
  <si>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</si>
  <si>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</si>
  <si>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</si>
  <si>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</si>
  <si>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</si>
  <si>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</si>
  <si>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</si>
  <si>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</si>
  <si>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</si>
  <si>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</si>
  <si>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</si>
  <si>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</si>
  <si>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</si>
  <si>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</si>
  <si>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</si>
  <si>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</si>
  <si>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</si>
  <si>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</si>
  <si>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</si>
  <si>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</si>
  <si>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</si>
  <si>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</si>
  <si>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</si>
  <si>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</si>
  <si>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</si>
  <si>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</si>
  <si>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</si>
  <si>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</si>
  <si>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</si>
  <si>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</si>
  <si>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</si>
  <si>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</si>
  <si>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</si>
  <si>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</si>
  <si>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</si>
  <si>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</si>
  <si>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</si>
  <si>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</si>
  <si>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</si>
  <si>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</si>
  <si>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</si>
  <si>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</si>
  <si>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</si>
  <si>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</si>
  <si>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</si>
  <si>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</si>
  <si>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</si>
  <si>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</si>
  <si>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</si>
  <si>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</si>
  <si>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</si>
  <si>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</si>
  <si>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</si>
  <si>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</si>
  <si>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</si>
  <si>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</si>
  <si>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</si>
  <si>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</si>
  <si>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</si>
  <si>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</si>
  <si>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</si>
  <si>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</si>
  <si>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</si>
  <si>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</si>
  <si>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</si>
  <si>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</si>
  <si>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</si>
  <si>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</si>
  <si>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</si>
  <si>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</si>
  <si>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</si>
  <si>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</si>
  <si>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</si>
  <si>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</si>
  <si>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</si>
  <si>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</si>
  <si>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</si>
  <si>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</si>
  <si>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</si>
  <si>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</si>
  <si>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</si>
  <si>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</si>
  <si>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</si>
  <si>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</si>
  <si>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</si>
  <si>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</si>
  <si>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</si>
  <si>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</si>
  <si>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</si>
  <si>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</si>
  <si>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</si>
  <si>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</si>
  <si>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</si>
  <si>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</si>
  <si>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</si>
  <si>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</si>
  <si>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</si>
  <si>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</si>
  <si>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</si>
  <si>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</si>
  <si>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</si>
  <si>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</si>
  <si>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</si>
  <si>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</si>
  <si>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</si>
  <si>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</si>
  <si>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</si>
  <si>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</si>
  <si>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</si>
  <si>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</si>
  <si>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</si>
  <si>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</si>
  <si>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</si>
  <si>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</si>
  <si>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</si>
  <si>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</si>
  <si>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</si>
  <si>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</si>
  <si>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</si>
  <si>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</si>
  <si>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</si>
  <si>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</si>
  <si>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</si>
  <si>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</si>
  <si>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</si>
  <si>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</si>
  <si>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</si>
  <si>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</si>
  <si>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</si>
  <si>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</si>
  <si>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</si>
  <si>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</si>
  <si>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Oprensning af bassin og slamanlæg</t>
  </si>
  <si>
    <t>Separeringsprojekter</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</si>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</sst>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hlW7XC3xpOkqVsg2Zy4p0UxnsRlp45E3MnX/d2EKjj265AW/LB4YwB/fFlZp1nXy1Ob3Ds2jjE7ScqC6GtBbLg==" saltValue="QfA6wqd8IBCKwmouzNebj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1476388</v>
      </c>
      <c r="D10" s="14" t="s">
        <v>3</v>
      </c>
      <c r="E10" s="1"/>
      <c r="F10" s="1"/>
    </row>
    <row r="11" spans="1:6" x14ac:dyDescent="0.25">
      <c r="A11" s="1"/>
      <c r="B11" s="94" t="s">
        <v>266</v>
      </c>
      <c r="C11" s="9">
        <v>115556</v>
      </c>
      <c r="D11" s="14" t="s">
        <v>3</v>
      </c>
      <c r="E11" s="1"/>
      <c r="F11" s="1"/>
    </row>
    <row r="12" spans="1:6" x14ac:dyDescent="0.25">
      <c r="A12" s="1"/>
      <c r="B12" s="94" t="s">
        <v>267</v>
      </c>
      <c r="C12" s="9">
        <v>20399.02</v>
      </c>
      <c r="D12" s="14" t="s">
        <v>3</v>
      </c>
      <c r="E12" s="1"/>
      <c r="F12" s="1"/>
    </row>
    <row r="13" spans="1:6" x14ac:dyDescent="0.25">
      <c r="A13" s="1"/>
      <c r="B13" s="94" t="s">
        <v>268</v>
      </c>
      <c r="C13" s="9">
        <v>201078.66</v>
      </c>
      <c r="D13" s="14" t="s">
        <v>3</v>
      </c>
      <c r="E13" s="1"/>
      <c r="F13" s="1"/>
    </row>
    <row r="14" spans="1:6" x14ac:dyDescent="0.25">
      <c r="A14" s="1"/>
      <c r="B14" s="94" t="s">
        <v>269</v>
      </c>
      <c r="C14" s="9">
        <v>37433.5</v>
      </c>
      <c r="D14" s="14" t="s">
        <v>3</v>
      </c>
      <c r="E14" s="1"/>
      <c r="F14" s="1"/>
    </row>
    <row r="15" spans="1:6" x14ac:dyDescent="0.25">
      <c r="A15" s="1"/>
      <c r="B15" s="32" t="s">
        <v>200</v>
      </c>
      <c r="C15" s="12">
        <f>SUM(C10:C14)</f>
        <v>1850855.18</v>
      </c>
      <c r="D15" s="13" t="s">
        <v>3</v>
      </c>
      <c r="E15" s="1"/>
      <c r="F15" s="1"/>
    </row>
    <row r="16" spans="1:6" x14ac:dyDescent="0.25">
      <c r="A16" s="1"/>
      <c r="B16" s="32" t="s">
        <v>201</v>
      </c>
      <c r="C16" s="12">
        <f>C15*(1+'Fane 15. Nøgletal'!C15)^2</f>
        <v>1984981.7686369249</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117</v>
      </c>
      <c r="C19" s="132"/>
      <c r="D19" s="133"/>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202</v>
      </c>
      <c r="C23" s="9">
        <v>0</v>
      </c>
      <c r="D23" s="40"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98</v>
      </c>
      <c r="C27" s="132"/>
      <c r="D27" s="133"/>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5SfKKBDO1GKHQpPoSw7KofdxPXJ39vXHWSgH2I0M3IN1gd7Nm0sw2QxrEaDFBbl5J1utl2Zr23+04Af5gY2daw==" saltValue="ZE0vN5BpwOb8tJJJAWQ8E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tabSelected="1" view="pageLayout" topLeftCell="A33" zoomScale="80" zoomScaleNormal="100" zoomScalePageLayoutView="80" workbookViewId="0"/>
  </sheetViews>
  <sheetFormatPr defaultColWidth="9.140625" defaultRowHeight="15" x14ac:dyDescent="0.25"/>
  <cols>
    <col min="1" max="1" width="3.5703125" style="2" customWidth="1"/>
    <col min="2" max="3" width="9.140625" style="2"/>
    <col min="4" max="4" width="41.85546875" style="2" customWidth="1"/>
    <col min="5" max="5" width="14.4257812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4267536.9942080677</v>
      </c>
      <c r="F9" s="14" t="s">
        <v>3</v>
      </c>
      <c r="G9" s="1"/>
    </row>
    <row r="10" spans="1:7" x14ac:dyDescent="0.25">
      <c r="A10" s="1"/>
      <c r="B10" s="136" t="s">
        <v>263</v>
      </c>
      <c r="C10" s="137"/>
      <c r="D10" s="138"/>
      <c r="E10" s="9">
        <v>4267536.9942080677</v>
      </c>
      <c r="F10" s="14" t="s">
        <v>3</v>
      </c>
      <c r="G10" s="1"/>
    </row>
    <row r="11" spans="1:7" x14ac:dyDescent="0.25">
      <c r="A11" s="1"/>
      <c r="B11" s="32"/>
      <c r="C11" s="27"/>
      <c r="D11" s="27"/>
      <c r="E11" s="27"/>
      <c r="F11" s="19"/>
      <c r="G11" s="1"/>
    </row>
    <row r="12" spans="1:7" ht="79.5" customHeight="1" x14ac:dyDescent="0.25">
      <c r="A12" s="1"/>
      <c r="B12" s="121" t="s">
        <v>289</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282</v>
      </c>
      <c r="C15" s="137"/>
      <c r="D15" s="138"/>
      <c r="E15" s="9">
        <v>0</v>
      </c>
      <c r="F15" s="14" t="s">
        <v>3</v>
      </c>
      <c r="G15" s="1"/>
    </row>
    <row r="16" spans="1:7" x14ac:dyDescent="0.25">
      <c r="A16" s="1"/>
      <c r="B16" s="136" t="s">
        <v>283</v>
      </c>
      <c r="C16" s="137"/>
      <c r="D16" s="138"/>
      <c r="E16" s="9">
        <v>0</v>
      </c>
      <c r="F16" s="14" t="s">
        <v>3</v>
      </c>
      <c r="G16" s="1"/>
    </row>
    <row r="17" spans="1:7" x14ac:dyDescent="0.25">
      <c r="A17" s="1"/>
      <c r="B17" s="32"/>
      <c r="C17" s="27"/>
      <c r="D17" s="27"/>
      <c r="E17" s="27"/>
      <c r="F17" s="19"/>
      <c r="G17" s="1"/>
    </row>
    <row r="18" spans="1:7" ht="31.5" customHeight="1" x14ac:dyDescent="0.25">
      <c r="A18" s="1"/>
      <c r="B18" s="121" t="s">
        <v>290</v>
      </c>
      <c r="C18" s="122"/>
      <c r="D18" s="122"/>
      <c r="E18" s="122"/>
      <c r="F18" s="123"/>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107808141.18102826</v>
      </c>
      <c r="F21" s="14" t="s">
        <v>3</v>
      </c>
      <c r="G21" s="1"/>
    </row>
    <row r="22" spans="1:7" x14ac:dyDescent="0.25">
      <c r="A22" s="1"/>
      <c r="B22" s="91" t="s">
        <v>207</v>
      </c>
      <c r="C22" s="92"/>
      <c r="D22" s="93"/>
      <c r="E22" s="9">
        <v>106703676</v>
      </c>
      <c r="F22" s="14" t="s">
        <v>3</v>
      </c>
      <c r="G22" s="1"/>
    </row>
    <row r="23" spans="1:7" x14ac:dyDescent="0.25">
      <c r="A23" s="1"/>
      <c r="B23" s="91" t="s">
        <v>33</v>
      </c>
      <c r="C23" s="92"/>
      <c r="D23" s="93"/>
      <c r="E23" s="9">
        <v>0</v>
      </c>
      <c r="F23" s="14" t="s">
        <v>3</v>
      </c>
      <c r="G23" s="1"/>
    </row>
    <row r="24" spans="1:7" x14ac:dyDescent="0.25">
      <c r="A24" s="1"/>
      <c r="B24" s="88" t="s">
        <v>270</v>
      </c>
      <c r="C24" s="89"/>
      <c r="D24" s="95"/>
      <c r="E24" s="72">
        <f>E21-(E22-E23)</f>
        <v>1104465.1810282618</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284</v>
      </c>
      <c r="C27" s="132"/>
      <c r="D27" s="132"/>
      <c r="E27" s="132"/>
      <c r="F27" s="133"/>
      <c r="G27" s="1"/>
    </row>
    <row r="28" spans="1:7" x14ac:dyDescent="0.25">
      <c r="A28" s="1"/>
      <c r="B28" s="134" t="s">
        <v>285</v>
      </c>
      <c r="C28" s="135"/>
      <c r="D28" s="158"/>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1" t="s">
        <v>143</v>
      </c>
      <c r="C32" s="152"/>
      <c r="D32" s="153"/>
      <c r="E32" s="74">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0</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algorithmName="SHA-512" hashValue="JsHeNWnX/CmFezSprcvZJG0L2Ka2ddPb7zOXemrQ8DkMTbV0nvq0geMOMTxjIz8frTNFOAKZt3vi0xuG4wkhrw==" saltValue="2sqD0xHqgnYd2yrM1tppMw==" spinCount="100000" sheet="1" objects="1" scenarios="1"/>
  <mergeCells count="17">
    <mergeCell ref="B31:F31"/>
    <mergeCell ref="B33:D33"/>
    <mergeCell ref="B34:D34"/>
    <mergeCell ref="B35:F35"/>
    <mergeCell ref="B3:F4"/>
    <mergeCell ref="B8:F8"/>
    <mergeCell ref="B9:D9"/>
    <mergeCell ref="B10:D10"/>
    <mergeCell ref="B14:F14"/>
    <mergeCell ref="B12:F12"/>
    <mergeCell ref="B15:D15"/>
    <mergeCell ref="B16:D16"/>
    <mergeCell ref="B32:D32"/>
    <mergeCell ref="B29:F29"/>
    <mergeCell ref="B18:F18"/>
    <mergeCell ref="B27:F27"/>
    <mergeCell ref="B28:D28"/>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273</v>
      </c>
      <c r="C10" s="160"/>
      <c r="D10" s="160"/>
      <c r="E10" s="160"/>
      <c r="F10" s="161"/>
      <c r="G10" s="9">
        <v>0</v>
      </c>
      <c r="H10" s="9" t="s">
        <v>3</v>
      </c>
      <c r="I10" s="1"/>
    </row>
    <row r="11" spans="1:9" x14ac:dyDescent="0.25">
      <c r="A11" s="1"/>
      <c r="B11" s="159" t="s">
        <v>274</v>
      </c>
      <c r="C11" s="160"/>
      <c r="D11" s="160"/>
      <c r="E11" s="160"/>
      <c r="F11" s="161"/>
      <c r="G11" s="9">
        <v>0</v>
      </c>
      <c r="H11" s="9" t="s">
        <v>3</v>
      </c>
      <c r="I11" s="1"/>
    </row>
    <row r="12" spans="1:9" x14ac:dyDescent="0.25">
      <c r="A12" s="1"/>
      <c r="B12" s="159" t="s">
        <v>275</v>
      </c>
      <c r="C12" s="160"/>
      <c r="D12" s="160"/>
      <c r="E12" s="160"/>
      <c r="F12" s="161"/>
      <c r="G12" s="9">
        <v>0</v>
      </c>
      <c r="H12" s="9" t="s">
        <v>3</v>
      </c>
      <c r="I12" s="1"/>
    </row>
    <row r="13" spans="1:9" x14ac:dyDescent="0.25">
      <c r="A13" s="1"/>
      <c r="B13" s="159" t="s">
        <v>276</v>
      </c>
      <c r="C13" s="160"/>
      <c r="D13" s="160"/>
      <c r="E13" s="160"/>
      <c r="F13" s="161"/>
      <c r="G13" s="9">
        <v>0</v>
      </c>
      <c r="H13" s="9" t="s">
        <v>3</v>
      </c>
      <c r="I13" s="1"/>
    </row>
    <row r="14" spans="1:9" x14ac:dyDescent="0.25">
      <c r="A14" s="1"/>
      <c r="B14" s="159" t="s">
        <v>277</v>
      </c>
      <c r="C14" s="160"/>
      <c r="D14" s="160"/>
      <c r="E14" s="160"/>
      <c r="F14" s="161"/>
      <c r="G14" s="9">
        <v>0</v>
      </c>
      <c r="H14" s="9" t="s">
        <v>3</v>
      </c>
      <c r="I14" s="1"/>
    </row>
    <row r="15" spans="1:9" x14ac:dyDescent="0.25">
      <c r="A15" s="1"/>
      <c r="B15" s="159" t="s">
        <v>278</v>
      </c>
      <c r="C15" s="160"/>
      <c r="D15" s="160"/>
      <c r="E15" s="160"/>
      <c r="F15" s="161"/>
      <c r="G15" s="9">
        <v>0</v>
      </c>
      <c r="H15" s="9" t="s">
        <v>3</v>
      </c>
      <c r="I15" s="1"/>
    </row>
    <row r="16" spans="1:9" x14ac:dyDescent="0.25">
      <c r="A16" s="1"/>
      <c r="B16" s="159" t="s">
        <v>279</v>
      </c>
      <c r="C16" s="160"/>
      <c r="D16" s="160"/>
      <c r="E16" s="160"/>
      <c r="F16" s="161"/>
      <c r="G16" s="9">
        <v>0</v>
      </c>
      <c r="H16" s="9" t="s">
        <v>3</v>
      </c>
      <c r="I16" s="1"/>
    </row>
    <row r="17" spans="1:9" x14ac:dyDescent="0.25">
      <c r="A17" s="1"/>
      <c r="B17" s="159" t="s">
        <v>280</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ogjsnNgudIDHx2FihWCO0uT9x6r6JNOOp6sCmS0b9udt+TOkWcu/DX3rpKOrIEWaxkXu/eAQLOwSvV+Us4Jag==" saltValue="NM3mPrMDw4vrlOsRyok6Ww=="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8"/>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c r="F14" s="8" t="s">
        <v>3</v>
      </c>
      <c r="G14" s="1"/>
    </row>
    <row r="15" spans="1:7" x14ac:dyDescent="0.25">
      <c r="A15" s="1"/>
      <c r="B15" s="121" t="s">
        <v>211</v>
      </c>
      <c r="C15" s="122"/>
      <c r="D15" s="123"/>
      <c r="E15" s="9"/>
      <c r="F15" s="8" t="s">
        <v>3</v>
      </c>
      <c r="G15" s="1"/>
    </row>
    <row r="16" spans="1:7" x14ac:dyDescent="0.25">
      <c r="A16" s="1"/>
      <c r="B16" s="134" t="s">
        <v>101</v>
      </c>
      <c r="C16" s="135"/>
      <c r="D16" s="158"/>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QJE8jqWhXwy0ICCYVea8dCcR+WxtcaESEr3l0L1ye0rD7geuRUFb2aLKEiG1MIkhYnYgWuSi19Ilr8+nTYang==" saltValue="AboCHoJDhfYU6yp8G6R5e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281</v>
      </c>
      <c r="C10" s="41"/>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ADte5zE9fGf7KgyxccbJcYXH/F69tsgjprmB3f93sl5/g3yay0sH3wGlFMKPVVdXo3r72ZOpMDcLBg0RqOqBUg==" saltValue="76F1TgKTwtYGzUJnn0PHI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287</v>
      </c>
      <c r="C11" s="21">
        <v>0</v>
      </c>
      <c r="D11" s="14" t="s">
        <v>3</v>
      </c>
      <c r="E11" s="9">
        <v>785231</v>
      </c>
      <c r="F11" s="14" t="s">
        <v>3</v>
      </c>
      <c r="G11" s="1"/>
    </row>
    <row r="12" spans="1:7" x14ac:dyDescent="0.25">
      <c r="A12" s="1"/>
      <c r="B12" s="23" t="s">
        <v>272</v>
      </c>
      <c r="C12" s="21">
        <v>0</v>
      </c>
      <c r="D12" s="14" t="s">
        <v>3</v>
      </c>
      <c r="E12" s="9">
        <v>308695</v>
      </c>
      <c r="F12" s="14" t="s">
        <v>3</v>
      </c>
      <c r="G12" s="1"/>
    </row>
    <row r="13" spans="1:7" x14ac:dyDescent="0.25">
      <c r="A13" s="1"/>
      <c r="B13" s="23" t="s">
        <v>286</v>
      </c>
      <c r="C13" s="21">
        <v>187608</v>
      </c>
      <c r="D13" s="14" t="s">
        <v>3</v>
      </c>
      <c r="E13" s="9">
        <v>0</v>
      </c>
      <c r="F13" s="14" t="s">
        <v>3</v>
      </c>
      <c r="G13" s="1"/>
    </row>
    <row r="14" spans="1:7" x14ac:dyDescent="0.25">
      <c r="A14" s="1"/>
      <c r="B14" s="32" t="s">
        <v>156</v>
      </c>
      <c r="C14" s="12">
        <f>SUM(C10:C13)</f>
        <v>187608</v>
      </c>
      <c r="D14" s="13" t="s">
        <v>3</v>
      </c>
      <c r="E14" s="12">
        <f>SUM(E10:E13)</f>
        <v>1093926</v>
      </c>
      <c r="F14" s="13" t="s">
        <v>3</v>
      </c>
      <c r="G14" s="1"/>
    </row>
    <row r="15" spans="1:7" x14ac:dyDescent="0.25">
      <c r="A15" s="1"/>
      <c r="B15" s="32" t="s">
        <v>213</v>
      </c>
      <c r="C15" s="12">
        <f>C14*(1+'Fane 15. Nøgletal'!C15)</f>
        <v>194286.84480000002</v>
      </c>
      <c r="D15" s="13" t="s">
        <v>3</v>
      </c>
      <c r="E15" s="12">
        <f>E14*(1+'Fane 15. Nøgletal'!C15)</f>
        <v>1132869.7656</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Q91a47XW7GPPBtWBtHmDeZvMVJsqxtnVE0O9hDE39p69PgKLcJbCIBp/XWwyUj8TVCaOyenxt/Y35+awOMErw==" saltValue="xDIUXxqI2ZyCW3KvSEFn0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286</v>
      </c>
      <c r="C10" s="21">
        <v>2010832</v>
      </c>
      <c r="D10" s="14" t="s">
        <v>3</v>
      </c>
      <c r="E10" s="9">
        <v>0</v>
      </c>
      <c r="F10" s="14" t="s">
        <v>3</v>
      </c>
      <c r="G10" s="1"/>
    </row>
    <row r="11" spans="1:7" x14ac:dyDescent="0.25">
      <c r="A11" s="1"/>
      <c r="B11" s="32" t="s">
        <v>232</v>
      </c>
      <c r="C11" s="12">
        <f>SUM(C10:C10)</f>
        <v>2010832</v>
      </c>
      <c r="D11" s="13" t="s">
        <v>3</v>
      </c>
      <c r="E11" s="12">
        <f>SUM(E10:E10)</f>
        <v>0</v>
      </c>
      <c r="F11" s="13" t="s">
        <v>3</v>
      </c>
      <c r="G11" s="1"/>
    </row>
    <row r="12" spans="1:7" x14ac:dyDescent="0.25">
      <c r="A12" s="1"/>
      <c r="B12" s="32" t="s">
        <v>136</v>
      </c>
      <c r="C12" s="12">
        <f>C11*(1+'Fane 15. Nøgletal'!C15)^2</f>
        <v>2156551.6864435202</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G9bjHL/B5+6WL8UoyzXYsljT9/te5AMvaxEmOLR0+pjvmUSvHezwgl6QrX/fiOaaxNmZMuh9zUcY/IU5tLWugQ==" saltValue="SirkAMTTul/dRrduRPhuu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GnngErzwuqqO7lyInY1moQh2q2zUdr3Yrfm1QS/DNAMo92WSSBbPOWSKaFe4T4+Y6XahMUG6Q9P5n3wQAjReA==" saltValue="jTivZfiPJ2MQWXyGJsgFu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28515625" style="2" customWidth="1"/>
    <col min="2" max="2" width="43" style="2" customWidth="1"/>
    <col min="3" max="3" width="15.5703125" style="2" customWidth="1"/>
    <col min="4" max="4" width="3.28515625" style="2" customWidth="1"/>
    <col min="5" max="5" width="17.140625" style="2" customWidth="1"/>
    <col min="6" max="6" width="3.28515625" style="2" customWidth="1"/>
    <col min="7" max="7" width="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9tTvkjQRqADG9ICWJvStaexZXEVpXIcNsoEI1iJnBjtUJmk+6y22P0PvFdJTKlG1Db4XwYnteNSce9ETa3wGCg==" saltValue="Ywc9J2PLFnsKPeSEffz3y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dGTmydYefGYoWht8HjtTwA3gTjeH7LHbs9MquQZ/fLBNZu3esVFQzAIVaP9Un0oNnJJXUVLPN+NQKxrTZwoKQA==" saltValue="6XJRWf9jyLPM5vqW2IwqZ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101784793.02951916</v>
      </c>
      <c r="D9" s="8" t="s">
        <v>3</v>
      </c>
      <c r="E9" s="1"/>
    </row>
    <row r="10" spans="1:5" ht="17.25" customHeight="1" x14ac:dyDescent="0.25">
      <c r="A10" s="1"/>
      <c r="B10" s="82" t="s">
        <v>39</v>
      </c>
      <c r="C10" s="7">
        <f>'Fane 11.1. Varige tillæg'!C15</f>
        <v>194286.84480000002</v>
      </c>
      <c r="D10" s="8" t="s">
        <v>3</v>
      </c>
      <c r="E10" s="1"/>
    </row>
    <row r="11" spans="1:5" ht="17.25" customHeight="1" x14ac:dyDescent="0.25">
      <c r="A11" s="1"/>
      <c r="B11" s="82" t="s">
        <v>40</v>
      </c>
      <c r="C11" s="9">
        <f>'Fane 11.1. Varige tillæg'!E15</f>
        <v>1132869.7656</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383136.59232765326</v>
      </c>
      <c r="D16" s="8" t="s">
        <v>3</v>
      </c>
      <c r="E16" s="1"/>
    </row>
    <row r="17" spans="1:5" ht="17.25" customHeight="1" x14ac:dyDescent="0.25">
      <c r="A17" s="1"/>
      <c r="B17" s="82" t="s">
        <v>10</v>
      </c>
      <c r="C17" s="44">
        <f>-SUM(C9,C10:C16)*'Fane 5. Individuelt eff. krav'!G9</f>
        <v>-692337.50637315284</v>
      </c>
      <c r="D17" s="8" t="s">
        <v>3</v>
      </c>
      <c r="E17" s="1"/>
    </row>
    <row r="18" spans="1:5" ht="17.25" customHeight="1" x14ac:dyDescent="0.25">
      <c r="A18" s="1"/>
      <c r="B18" s="82" t="s">
        <v>24</v>
      </c>
      <c r="C18" s="44">
        <f>-'Fane 4.1. Gen. krav - drift'!G45</f>
        <v>-721290.451731498</v>
      </c>
      <c r="D18" s="8" t="s">
        <v>3</v>
      </c>
      <c r="E18" s="1"/>
    </row>
    <row r="19" spans="1:5" ht="17.25" customHeight="1" x14ac:dyDescent="0.25">
      <c r="A19" s="1"/>
      <c r="B19" s="82" t="s">
        <v>25</v>
      </c>
      <c r="C19" s="44">
        <f>-'Fane 4.2. Gen. krav - anlæg'!G43</f>
        <v>-1002220.9075146692</v>
      </c>
      <c r="D19" s="8" t="s">
        <v>3</v>
      </c>
      <c r="E19" s="48"/>
    </row>
    <row r="20" spans="1:5" ht="17.25" customHeight="1" x14ac:dyDescent="0.25">
      <c r="A20" s="1"/>
      <c r="B20" s="88" t="s">
        <v>21</v>
      </c>
      <c r="C20" s="10">
        <f>SUM(C9:C19)</f>
        <v>101079237.36662747</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1984981.7686369249</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2156551.6864435202</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-57557.434742795245</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6" t="s">
        <v>87</v>
      </c>
      <c r="C30" s="10">
        <f>SUM(C26:C29)</f>
        <v>2098994.2517007249</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6" t="s">
        <v>176</v>
      </c>
      <c r="C36" s="10">
        <f>'Fane 8. Skattesagen'!G12</f>
        <v>0</v>
      </c>
      <c r="D36" s="11" t="s">
        <v>3</v>
      </c>
      <c r="E36" s="1"/>
    </row>
    <row r="37" spans="1:5" x14ac:dyDescent="0.25">
      <c r="A37" s="1"/>
      <c r="B37" s="32" t="s">
        <v>90</v>
      </c>
      <c r="C37" s="57">
        <f>SUM(C34,C32,C24,C30,C22,C20,C36)</f>
        <v>105163213.38696513</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Rw7iZckmsDMM3sV62lJAl8qy7py0dyU+FHf13JKPMXOenXHIYHIs88e5YLV5dJux0ccqXILYV1xeyBXrB22y1Q==" saltValue="ByIXaAg655jRIYfKm5OwM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TmkONE3G3lZe+wMYRNbsGsxeHOiPDYeH6tFGmvgvx5XkKCWuEBMTwDWfu3ud8G5tdtdg22quj/aX5M7CKE73Xw==" saltValue="nyhtEMVBRrNcy2YN0aLmB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112" zoomScaleNormal="100" zoomScalePageLayoutView="112"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101079237.36662747</v>
      </c>
      <c r="D9" s="8" t="s">
        <v>3</v>
      </c>
      <c r="E9" s="1"/>
    </row>
    <row r="10" spans="1:5" ht="15" customHeight="1" x14ac:dyDescent="0.25">
      <c r="A10" s="1"/>
      <c r="B10" s="25" t="s">
        <v>19</v>
      </c>
      <c r="C10" s="7">
        <f>SUM(C9:C9)*'Fane 15. Nøgletal'!C15</f>
        <v>3598420.8502519378</v>
      </c>
      <c r="D10" s="8" t="s">
        <v>3</v>
      </c>
      <c r="E10" s="1"/>
    </row>
    <row r="11" spans="1:5" ht="15" customHeight="1" x14ac:dyDescent="0.25">
      <c r="A11" s="1"/>
      <c r="B11" s="25" t="s">
        <v>10</v>
      </c>
      <c r="C11" s="9">
        <f>-SUM(C9:C10)*'Fane 5. Individuelt eff. krav'!G9</f>
        <v>-700248.40310026915</v>
      </c>
      <c r="D11" s="8" t="s">
        <v>3</v>
      </c>
      <c r="E11" s="1"/>
    </row>
    <row r="12" spans="1:5" ht="15" customHeight="1" x14ac:dyDescent="0.25">
      <c r="A12" s="1"/>
      <c r="B12" s="25" t="s">
        <v>24</v>
      </c>
      <c r="C12" s="9">
        <f>-'Fane 4.1. Gen. krav - drift'!G53</f>
        <v>-732029.02397687663</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103245380.78980227</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omk.'!C26+'Fane 6. Ikke-påvirkelige omk.'!C34</f>
        <v>2055647.1196003996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Skattesagen'!G13</f>
        <v>0</v>
      </c>
      <c r="D22" s="11" t="s">
        <v>3</v>
      </c>
      <c r="E22" s="1"/>
    </row>
    <row r="23" spans="1:5" x14ac:dyDescent="0.25">
      <c r="A23" s="1"/>
      <c r="B23" s="32" t="s">
        <v>128</v>
      </c>
      <c r="C23" s="12">
        <f>SUM(C14,C16,C18,C20,C22)</f>
        <v>105301027.90940267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ZDToqhxwdgiZ6qFveUb7aVDLly4Q6kxHi83O33yPZ9JpiWPTejuKpfCy6JqHIM1NFtSbyV6HViwQmmgCGLbiw==" saltValue="vUMyc8P/NcOweFqKsdhi9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103245380.78980227</v>
      </c>
      <c r="D9" s="8" t="s">
        <v>3</v>
      </c>
      <c r="E9" s="1"/>
    </row>
    <row r="10" spans="1:5" ht="15" customHeight="1" x14ac:dyDescent="0.25">
      <c r="A10" s="1"/>
      <c r="B10" s="25" t="s">
        <v>19</v>
      </c>
      <c r="C10" s="7">
        <f>SUM(C9:C9)*'Fane 15. Nøgletal'!C15</f>
        <v>3675535.5561169609</v>
      </c>
      <c r="D10" s="8" t="s">
        <v>3</v>
      </c>
      <c r="E10" s="1"/>
    </row>
    <row r="11" spans="1:5" ht="15" customHeight="1" x14ac:dyDescent="0.25">
      <c r="A11" s="1"/>
      <c r="B11" s="25" t="s">
        <v>10</v>
      </c>
      <c r="C11" s="9">
        <f>-SUM(C9:C10)*'Fane 5. Individuelt eff. krav'!G9</f>
        <v>-715254.83283284144</v>
      </c>
      <c r="D11" s="8" t="s">
        <v>3</v>
      </c>
      <c r="E11" s="1"/>
    </row>
    <row r="12" spans="1:5" ht="15" customHeight="1" x14ac:dyDescent="0.25">
      <c r="A12" s="1"/>
      <c r="B12" s="25" t="s">
        <v>24</v>
      </c>
      <c r="C12" s="9">
        <f>-'Fane 4.1. Gen. krav - drift'!G58</f>
        <v>-742927.47208584449</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105462734.04100053</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2128828.1570581738</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Skattesagen'!G14</f>
        <v>0</v>
      </c>
      <c r="D22" s="11" t="s">
        <v>3</v>
      </c>
      <c r="E22" s="1"/>
    </row>
    <row r="23" spans="1:5" x14ac:dyDescent="0.25">
      <c r="A23" s="1"/>
      <c r="B23" s="32" t="s">
        <v>149</v>
      </c>
      <c r="C23" s="12">
        <f>SUM(C14,C16,C18,C20,C22)</f>
        <v>107591562.19805871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PxawKTWbPpOecBreQn2mzadultp6QelxObN8FOYk7RgqULpaJXcqBS0j1VnCHo/7+I42BS/dVBx/+FfGaHywIA==" saltValue="VLhnx12116SdWbM1NYVAW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105462734.04100053</v>
      </c>
      <c r="D9" s="8" t="s">
        <v>3</v>
      </c>
      <c r="E9" s="1"/>
    </row>
    <row r="10" spans="1:5" ht="15" customHeight="1" x14ac:dyDescent="0.25">
      <c r="A10" s="1"/>
      <c r="B10" s="25" t="s">
        <v>19</v>
      </c>
      <c r="C10" s="7">
        <f>SUM(C9:C9)*'Fane 15. Nøgletal'!C15</f>
        <v>3754473.3318596189</v>
      </c>
      <c r="D10" s="8" t="s">
        <v>3</v>
      </c>
      <c r="E10" s="1"/>
    </row>
    <row r="11" spans="1:5" ht="15" customHeight="1" x14ac:dyDescent="0.25">
      <c r="A11" s="1"/>
      <c r="B11" s="25" t="s">
        <v>10</v>
      </c>
      <c r="C11" s="9">
        <f>-SUM(C9:C10)*'Fane 5. Individuelt eff. krav'!G9</f>
        <v>-730616.02978794847</v>
      </c>
      <c r="D11" s="8" t="s">
        <v>3</v>
      </c>
      <c r="E11" s="1"/>
    </row>
    <row r="12" spans="1:5" ht="15" customHeight="1" x14ac:dyDescent="0.25">
      <c r="A12" s="1"/>
      <c r="B12" s="25" t="s">
        <v>24</v>
      </c>
      <c r="C12" s="9">
        <f>-'Fane 4.1. Gen. krav - drift'!G63</f>
        <v>-753988.17629025865</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107732603.16678195</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2204614.4394494449</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Skattesagen'!G15</f>
        <v>0</v>
      </c>
      <c r="D22" s="11" t="s">
        <v>3</v>
      </c>
      <c r="E22" s="1"/>
    </row>
    <row r="23" spans="1:5" x14ac:dyDescent="0.25">
      <c r="A23" s="1"/>
      <c r="B23" s="32" t="s">
        <v>190</v>
      </c>
      <c r="C23" s="12">
        <f>SUM(C14,C16,C18,C20,C22)</f>
        <v>109937217.60623139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8thiNuOq7qNYigHe5KaA7yk0N3nSeIZMNHdk+hwMYkHQQUBxMlQOCkpmMzQ4EpAJuN4cVAqBEbcDJuiweZIz2w==" saltValue="jLp06gansmXAM6ewFvgDd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288</v>
      </c>
      <c r="C8" s="27"/>
      <c r="D8" s="27"/>
      <c r="E8" s="27"/>
      <c r="F8" s="19"/>
      <c r="G8" s="1"/>
    </row>
    <row r="9" spans="1:7" ht="15" customHeight="1" x14ac:dyDescent="0.25">
      <c r="A9" s="1"/>
      <c r="B9" s="121" t="s">
        <v>192</v>
      </c>
      <c r="C9" s="122"/>
      <c r="D9" s="123"/>
      <c r="E9" s="7">
        <v>103882631.39303227</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342812.68359700649</v>
      </c>
      <c r="F16" s="8" t="s">
        <v>3</v>
      </c>
      <c r="G16" s="1"/>
    </row>
    <row r="17" spans="1:7" ht="15" customHeight="1" x14ac:dyDescent="0.25">
      <c r="A17" s="1"/>
      <c r="B17" s="121" t="s">
        <v>10</v>
      </c>
      <c r="C17" s="122"/>
      <c r="D17" s="123"/>
      <c r="E17" s="9">
        <v>-697223.28546806693</v>
      </c>
      <c r="F17" s="8" t="s">
        <v>3</v>
      </c>
      <c r="G17" s="1"/>
    </row>
    <row r="18" spans="1:7" ht="15" customHeight="1" x14ac:dyDescent="0.25">
      <c r="A18" s="1"/>
      <c r="B18" s="121" t="s">
        <v>24</v>
      </c>
      <c r="C18" s="122"/>
      <c r="D18" s="123"/>
      <c r="E18" s="9">
        <f>-'Fane 4.1. Gen. krav - drift'!G39</f>
        <v>-729497.1315088782</v>
      </c>
      <c r="F18" s="8" t="s">
        <v>3</v>
      </c>
      <c r="G18" s="1"/>
    </row>
    <row r="19" spans="1:7" ht="15" customHeight="1" x14ac:dyDescent="0.25">
      <c r="A19" s="1"/>
      <c r="B19" s="121" t="s">
        <v>25</v>
      </c>
      <c r="C19" s="122"/>
      <c r="D19" s="123"/>
      <c r="E19" s="9">
        <f>-'Fane 4.2. Gen. krav - anlæg'!G37</f>
        <v>-1013930.6301331765</v>
      </c>
      <c r="F19" s="8" t="s">
        <v>3</v>
      </c>
      <c r="G19" s="1"/>
    </row>
    <row r="20" spans="1:7" ht="15" customHeight="1" x14ac:dyDescent="0.25">
      <c r="A20" s="1"/>
      <c r="B20" s="54" t="s">
        <v>21</v>
      </c>
      <c r="C20" s="89"/>
      <c r="D20" s="95"/>
      <c r="E20" s="51">
        <f>SUM(E9:E19)</f>
        <v>101784793.02951916</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1829082.4498923002</v>
      </c>
      <c r="F22" s="11" t="s">
        <v>3</v>
      </c>
      <c r="G22" s="1"/>
    </row>
    <row r="23" spans="1:7" ht="15" customHeight="1" x14ac:dyDescent="0.25">
      <c r="A23" s="1"/>
      <c r="B23" s="131" t="s">
        <v>86</v>
      </c>
      <c r="C23" s="132"/>
      <c r="D23" s="133"/>
      <c r="E23" s="27"/>
      <c r="F23" s="19"/>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509159.24970527051</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6" t="s">
        <v>176</v>
      </c>
      <c r="C34" s="10"/>
      <c r="D34" s="11"/>
      <c r="E34" s="10">
        <f>'Fane 8. Skattesagen'!G11</f>
        <v>0</v>
      </c>
      <c r="F34" s="11" t="s">
        <v>3</v>
      </c>
      <c r="G34" s="1"/>
    </row>
    <row r="35" spans="1:7" x14ac:dyDescent="0.25">
      <c r="A35" s="1"/>
      <c r="B35" s="55" t="s">
        <v>218</v>
      </c>
      <c r="C35" s="56"/>
      <c r="D35" s="19"/>
      <c r="E35" s="45">
        <f>SUM(E32,E30,E28,E24,E22,E20,E34)</f>
        <v>104123034.72911672</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oSS4H+8JjIUeg78qIDTDEa2PTYGtTE7jV9Gy4GV7kw0EZfTe25gNCsIKhKSAn14wa6H/XJirgYwZNF1bOcOo5g==" saltValue="j3D0xfTUlcFWirDdjdWQx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8" zoomScaleNormal="100" zoomScalePageLayoutView="98" workbookViewId="0"/>
  </sheetViews>
  <sheetFormatPr defaultColWidth="9.140625" defaultRowHeight="15" x14ac:dyDescent="0.25"/>
  <cols>
    <col min="1" max="1" width="2" style="2" customWidth="1"/>
    <col min="2" max="5" width="9.140625" style="2"/>
    <col min="6" max="6" width="25.140625"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37361020</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747220.4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37254541.093000002</v>
      </c>
      <c r="H11" s="14" t="s">
        <v>3</v>
      </c>
      <c r="I11" s="1"/>
    </row>
    <row r="12" spans="1:9" ht="15" customHeight="1" x14ac:dyDescent="0.25">
      <c r="A12" s="1"/>
      <c r="B12" s="136" t="s">
        <v>121</v>
      </c>
      <c r="C12" s="137"/>
      <c r="D12" s="137"/>
      <c r="E12" s="137"/>
      <c r="F12" s="138"/>
      <c r="G12" s="77">
        <v>0.28111131502315406</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745090.8274822263</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37148365.931195103</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742967.31862390204</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37122584.965238854</v>
      </c>
      <c r="H25" s="14" t="s">
        <v>3</v>
      </c>
      <c r="I25" s="1"/>
    </row>
    <row r="26" spans="1:9" x14ac:dyDescent="0.25">
      <c r="A26" s="1"/>
      <c r="B26" s="143" t="s">
        <v>50</v>
      </c>
      <c r="C26" s="144"/>
      <c r="D26" s="144"/>
      <c r="E26" s="144"/>
      <c r="F26" s="145"/>
      <c r="G26" s="77">
        <v>0</v>
      </c>
      <c r="H26" s="14" t="s">
        <v>3</v>
      </c>
      <c r="I26" s="1"/>
    </row>
    <row r="27" spans="1:9" x14ac:dyDescent="0.25">
      <c r="A27" s="1"/>
      <c r="B27" s="136" t="s">
        <v>51</v>
      </c>
      <c r="C27" s="137"/>
      <c r="D27" s="137"/>
      <c r="E27" s="137"/>
      <c r="F27" s="138"/>
      <c r="G27" s="76">
        <f>(G25+G26)*'Fane 15. Nøgletal'!C31</f>
        <v>742451.69930477708</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37096821.891272984</v>
      </c>
      <c r="H31" s="14" t="s">
        <v>3</v>
      </c>
      <c r="I31" s="1"/>
    </row>
    <row r="32" spans="1:9" x14ac:dyDescent="0.25">
      <c r="A32" s="1"/>
      <c r="B32" s="136" t="s">
        <v>137</v>
      </c>
      <c r="C32" s="137"/>
      <c r="D32" s="137"/>
      <c r="E32" s="137"/>
      <c r="F32" s="138"/>
      <c r="G32" s="76">
        <v>0</v>
      </c>
      <c r="H32" s="14" t="s">
        <v>3</v>
      </c>
      <c r="I32" s="1"/>
    </row>
    <row r="33" spans="1:9" x14ac:dyDescent="0.25">
      <c r="A33" s="1"/>
      <c r="B33" s="136" t="s">
        <v>60</v>
      </c>
      <c r="C33" s="137"/>
      <c r="D33" s="137"/>
      <c r="E33" s="137"/>
      <c r="F33" s="138"/>
      <c r="G33" s="76">
        <f>(G31+G32)*'Fane 15. Nøgletal'!C31</f>
        <v>741936.43782545975</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36474856.575443909</v>
      </c>
      <c r="H37" s="14" t="s">
        <v>3</v>
      </c>
      <c r="I37" s="1"/>
    </row>
    <row r="38" spans="1:9" x14ac:dyDescent="0.25">
      <c r="A38" s="1"/>
      <c r="B38" s="136" t="s">
        <v>164</v>
      </c>
      <c r="C38" s="137"/>
      <c r="D38" s="137"/>
      <c r="E38" s="137"/>
      <c r="F38" s="138"/>
      <c r="G38" s="76">
        <v>0</v>
      </c>
      <c r="H38" s="14" t="s">
        <v>3</v>
      </c>
      <c r="I38" s="1"/>
    </row>
    <row r="39" spans="1:9" x14ac:dyDescent="0.25">
      <c r="A39" s="1"/>
      <c r="B39" s="136" t="s">
        <v>162</v>
      </c>
      <c r="C39" s="137"/>
      <c r="D39" s="137"/>
      <c r="E39" s="137"/>
      <c r="F39" s="138"/>
      <c r="G39" s="76">
        <f>(G37+G38)*'Fane 15. Nøgletal'!C31</f>
        <v>729497.1315088782</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35863319.130100019</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201203.45647488005</v>
      </c>
      <c r="H44" s="14" t="s">
        <v>3</v>
      </c>
      <c r="I44" s="1"/>
    </row>
    <row r="45" spans="1:9" x14ac:dyDescent="0.25">
      <c r="A45" s="1"/>
      <c r="B45" s="136" t="s">
        <v>163</v>
      </c>
      <c r="C45" s="137"/>
      <c r="D45" s="137"/>
      <c r="E45" s="137"/>
      <c r="F45" s="138"/>
      <c r="G45" s="76">
        <f>SUM(G43:G44)*'Fane 15. Nøgletal'!C31</f>
        <v>721290.451731498</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36601451.198843829</v>
      </c>
      <c r="H52" s="14" t="s">
        <v>3</v>
      </c>
      <c r="I52" s="1"/>
    </row>
    <row r="53" spans="1:9" x14ac:dyDescent="0.25">
      <c r="A53" s="1"/>
      <c r="B53" s="136" t="s">
        <v>138</v>
      </c>
      <c r="C53" s="137"/>
      <c r="D53" s="137"/>
      <c r="E53" s="137"/>
      <c r="F53" s="138"/>
      <c r="G53" s="76">
        <f>(G52)*'Fane 15. Nøgletal'!C31</f>
        <v>732029.02397687663</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37146373.604292221</v>
      </c>
      <c r="H57" s="14" t="s">
        <v>3</v>
      </c>
      <c r="I57" s="1"/>
    </row>
    <row r="58" spans="1:9" x14ac:dyDescent="0.25">
      <c r="A58" s="1"/>
      <c r="B58" s="91" t="s">
        <v>152</v>
      </c>
      <c r="C58" s="92"/>
      <c r="D58" s="92"/>
      <c r="E58" s="92"/>
      <c r="F58" s="93"/>
      <c r="G58" s="76">
        <f>(G57)*'Fane 15. Nøgletal'!C31</f>
        <v>742927.47208584449</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37699408.814512931</v>
      </c>
      <c r="H62" s="14" t="s">
        <v>3</v>
      </c>
      <c r="I62" s="1"/>
    </row>
    <row r="63" spans="1:9" x14ac:dyDescent="0.25">
      <c r="A63" s="1"/>
      <c r="B63" s="91" t="s">
        <v>195</v>
      </c>
      <c r="C63" s="92"/>
      <c r="D63" s="92"/>
      <c r="E63" s="92"/>
      <c r="F63" s="93"/>
      <c r="G63" s="76">
        <f>(G62)*'Fane 15. Nøgletal'!C31</f>
        <v>753988.17629025865</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JWKQquoVmG7g1L5AlE9cXyrNDCAhUAAM50mYB0UkNMFmUMjGWpUcSvX+DtHVhBwiE1uP8As/HrRGhEE/4A6lCw==" saltValue="D9ZTNHRKCRVuLx9g+yI7Yw=="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6" zoomScaleNormal="100" zoomScalePageLayoutView="86" workbookViewId="0"/>
  </sheetViews>
  <sheetFormatPr defaultColWidth="9.140625" defaultRowHeight="15" x14ac:dyDescent="0.25"/>
  <cols>
    <col min="1" max="1" width="2" style="2" customWidth="1"/>
    <col min="2" max="5" width="9.140625" style="2"/>
    <col min="6" max="6" width="29" style="2" customWidth="1"/>
    <col min="7" max="7" width="14.140625" style="2" customWidth="1"/>
    <col min="8" max="8" width="3.28515625" style="2" customWidth="1"/>
    <col min="9" max="9" width="2"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69455899</v>
      </c>
      <c r="H5" s="14" t="s">
        <v>3</v>
      </c>
      <c r="I5" s="1"/>
    </row>
    <row r="6" spans="1:9" x14ac:dyDescent="0.25">
      <c r="A6" s="1"/>
      <c r="B6" s="136" t="s">
        <v>57</v>
      </c>
      <c r="C6" s="137"/>
      <c r="D6" s="137"/>
      <c r="E6" s="137"/>
      <c r="F6" s="138"/>
      <c r="G6" s="76">
        <f>G5*'Fane 15. Nøgletal'!C20</f>
        <v>632048.68090000004</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70028267.699684247</v>
      </c>
      <c r="H10" s="14" t="s">
        <v>3</v>
      </c>
      <c r="I10" s="1"/>
    </row>
    <row r="11" spans="1:9" x14ac:dyDescent="0.25">
      <c r="A11" s="1"/>
      <c r="B11" s="136" t="s">
        <v>122</v>
      </c>
      <c r="C11" s="137"/>
      <c r="D11" s="137"/>
      <c r="E11" s="137"/>
      <c r="F11" s="138"/>
      <c r="G11" s="76">
        <v>609609.18380336568</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1250290.4208377309</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70601869.225746259</v>
      </c>
      <c r="H17" s="14" t="s">
        <v>3</v>
      </c>
      <c r="I17" s="1"/>
    </row>
    <row r="18" spans="1:9" x14ac:dyDescent="0.25">
      <c r="A18" s="1"/>
      <c r="B18" s="143" t="s">
        <v>68</v>
      </c>
      <c r="C18" s="144"/>
      <c r="D18" s="144"/>
      <c r="E18" s="144"/>
      <c r="F18" s="145"/>
      <c r="G18" s="76">
        <v>171640.63180462996</v>
      </c>
      <c r="H18" s="14" t="s">
        <v>3</v>
      </c>
      <c r="I18" s="1"/>
    </row>
    <row r="19" spans="1:9" x14ac:dyDescent="0.25">
      <c r="A19" s="1"/>
      <c r="B19" s="136" t="s">
        <v>69</v>
      </c>
      <c r="C19" s="137"/>
      <c r="D19" s="137"/>
      <c r="E19" s="137"/>
      <c r="F19" s="138"/>
      <c r="G19" s="76">
        <f>G17*'Fane 15. Nøgletal'!C21+G18*'Fane 15. Nøgletal'!C22</f>
        <v>1251146.3587924091</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70891954.059684023</v>
      </c>
      <c r="H23" s="14" t="s">
        <v>3</v>
      </c>
      <c r="I23" s="1"/>
    </row>
    <row r="24" spans="1:9" x14ac:dyDescent="0.25">
      <c r="A24" s="1"/>
      <c r="B24" s="143" t="s">
        <v>72</v>
      </c>
      <c r="C24" s="144"/>
      <c r="D24" s="144"/>
      <c r="E24" s="144"/>
      <c r="F24" s="145"/>
      <c r="G24" s="76">
        <v>44305.370514900002</v>
      </c>
      <c r="H24" s="14" t="s">
        <v>3</v>
      </c>
      <c r="I24" s="1"/>
    </row>
    <row r="25" spans="1:9" x14ac:dyDescent="0.25">
      <c r="A25" s="1"/>
      <c r="B25" s="136" t="s">
        <v>73</v>
      </c>
      <c r="C25" s="137"/>
      <c r="D25" s="137"/>
      <c r="E25" s="137"/>
      <c r="F25" s="138"/>
      <c r="G25" s="76">
        <f>(G23+G24)*'Fane 15. Nøgletal'!C23</f>
        <v>2014589.7678176495</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70279426.554730192</v>
      </c>
      <c r="H29" s="14" t="s">
        <v>3</v>
      </c>
      <c r="I29" s="1"/>
    </row>
    <row r="30" spans="1:9" x14ac:dyDescent="0.25">
      <c r="A30" s="1"/>
      <c r="B30" s="136" t="s">
        <v>139</v>
      </c>
      <c r="C30" s="137"/>
      <c r="D30" s="137"/>
      <c r="E30" s="137"/>
      <c r="F30" s="138"/>
      <c r="G30" s="76">
        <v>0</v>
      </c>
      <c r="H30" s="14" t="s">
        <v>3</v>
      </c>
      <c r="I30" s="1"/>
    </row>
    <row r="31" spans="1:9" x14ac:dyDescent="0.25">
      <c r="A31" s="1"/>
      <c r="B31" s="136" t="s">
        <v>76</v>
      </c>
      <c r="C31" s="137"/>
      <c r="D31" s="137"/>
      <c r="E31" s="137"/>
      <c r="F31" s="138"/>
      <c r="G31" s="76">
        <f>G29*'Fane 15. Nøgletal'!C23+G30*'Fane 15. Nøgletal'!C24</f>
        <v>1995935.7141543375</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68508826.360349759</v>
      </c>
      <c r="H35" s="14" t="s">
        <v>3</v>
      </c>
      <c r="I35" s="1"/>
    </row>
    <row r="36" spans="1:9" x14ac:dyDescent="0.25">
      <c r="A36" s="1"/>
      <c r="B36" s="136" t="s">
        <v>167</v>
      </c>
      <c r="C36" s="137"/>
      <c r="D36" s="137"/>
      <c r="E36" s="137"/>
      <c r="F36" s="138"/>
      <c r="G36" s="76">
        <v>0</v>
      </c>
      <c r="H36" s="14" t="s">
        <v>3</v>
      </c>
      <c r="I36" s="1"/>
    </row>
    <row r="37" spans="1:9" x14ac:dyDescent="0.25">
      <c r="A37" s="1"/>
      <c r="B37" s="136" t="s">
        <v>166</v>
      </c>
      <c r="C37" s="137"/>
      <c r="D37" s="137"/>
      <c r="E37" s="137"/>
      <c r="F37" s="138"/>
      <c r="G37" s="76">
        <f>(G35+G36)*'Fane 15. Nøgletal'!C25</f>
        <v>1013930.6301331765</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67717628.886126295</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1173199.92925536</v>
      </c>
      <c r="H42" s="14" t="s">
        <v>3</v>
      </c>
      <c r="I42" s="1"/>
    </row>
    <row r="43" spans="1:9" x14ac:dyDescent="0.25">
      <c r="A43" s="1"/>
      <c r="B43" s="136" t="s">
        <v>168</v>
      </c>
      <c r="C43" s="137"/>
      <c r="D43" s="137"/>
      <c r="E43" s="137"/>
      <c r="F43" s="138"/>
      <c r="G43" s="76">
        <f>(G41)*'Fane 15. Nøgletal'!C25+G42*'Fane 15. Nøgletal'!C26</f>
        <v>1002220.9075146692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70305442.34938705</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72808316.097025231</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75400292.15007934</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lt4pPJ5sv+PGDYg/LcWPGBxOWK8+k4i9MtQgkBVHPdzw610Y5Zpbf6kYkMw5vNRHpVaTsuZgAR0G014FC28okg==" saltValue="Mt9dO6BQQSTZydnTiTkt1A=="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6.6895688633904988E-3</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tL2HPNHdIWAaGb3yeS8qUS+RvhI/dHs5iduyp15iZSHRv8liAEGCw7BI9oClmnVYb2R/XRKMLRW6DZAfcPK/Sw==" saltValue="4SUKLjD3z/y5QE5oUNcMj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2022-12-06T11:25:59Z</dcterms:modified>
</cp:coreProperties>
</file>