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erteminde Forsyning - Vand AS (V11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3" i="37" l="1"/>
  <c r="C13" i="37"/>
  <c r="C17" i="19" l="1"/>
  <c r="C16" i="19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4" i="37" s="1"/>
  <c r="C10" i="2" s="1"/>
  <c r="G11" i="11"/>
  <c r="E11" i="21" l="1"/>
  <c r="C11" i="21"/>
  <c r="E11" i="29"/>
  <c r="C11" i="29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<sst xmlns="http://schemas.openxmlformats.org/spreadsheetml/2006/main" count="601" uniqueCount="248">
  <si>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</si>
  <si>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</si>
  <si>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</si>
  <si>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</si>
  <si>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</si>
  <si>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</si>
  <si>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</si>
  <si>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</si>
  <si>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</si>
  <si>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</si>
  <si>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</si>
  <si>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</si>
  <si>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</si>
  <si>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</si>
  <si>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</si>
  <si>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</si>
  <si>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</si>
  <si>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</si>
  <si>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</si>
  <si>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</si>
  <si>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</si>
  <si>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</si>
  <si>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</si>
  <si>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</si>
  <si>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</si>
  <si>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</si>
  <si>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</si>
  <si>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</si>
  <si>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</si>
  <si>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</si>
  <si>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</si>
  <si>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</si>
  <si>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</si>
  <si>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</si>
  <si>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</si>
  <si>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</si>
  <si>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</si>
  <si>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</si>
  <si>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</si>
  <si>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</si>
  <si>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</si>
  <si>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</si>
  <si>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</si>
  <si>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</si>
  <si>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</si>
  <si>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</si>
  <si>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</si>
  <si>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</si>
  <si>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</si>
  <si>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</si>
  <si>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</si>
  <si>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</si>
  <si>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</si>
  <si>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</si>
  <si>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</si>
  <si>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</si>
  <si>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</si>
  <si>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</si>
  <si>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</si>
  <si>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</si>
  <si>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</si>
  <si>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</si>
  <si>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</si>
  <si>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</si>
  <si>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</si>
  <si>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</si>
  <si>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</si>
  <si>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</si>
  <si>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</si>
  <si>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</si>
  <si>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</si>
  <si>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</si>
  <si>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</si>
  <si>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</si>
  <si>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</si>
  <si>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</si>
  <si>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</si>
  <si>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</si>
  <si>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</si>
  <si>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</si>
  <si>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</si>
  <si>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</si>
  <si>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</si>
  <si>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</si>
  <si>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</si>
  <si>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</si>
  <si>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</si>
  <si>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</si>
  <si>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</si>
  <si>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</si>
  <si>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</si>
  <si>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</si>
  <si>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</si>
  <si>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</si>
  <si>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</si>
  <si>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</si>
  <si>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</si>
  <si>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</si>
  <si>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</si>
  <si>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</si>
  <si>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</si>
  <si>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</si>
  <si>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</si>
  <si>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</si>
  <si>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</si>
  <si>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</si>
  <si>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</si>
  <si>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</si>
  <si>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</si>
  <si>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</si>
  <si>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</si>
  <si>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</si>
  <si>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</si>
  <si>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</si>
  <si>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</si>
  <si>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</si>
  <si>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</si>
  <si>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</si>
  <si>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</si>
  <si>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</si>
  <si>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</si>
  <si>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</si>
  <si>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</si>
  <si>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</si>
  <si>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</si>
  <si>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</si>
  <si>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</si>
  <si>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</si>
  <si>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</si>
  <si>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</si>
  <si>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</si>
  <si>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</si>
  <si>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</si>
  <si>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</si>
  <si>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</si>
  <si>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</si>
  <si>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</si>
  <si>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</si>
  <si>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</si>
  <si>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</si>
  <si>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</si>
  <si>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</si>
  <si>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</si>
  <si>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</si>
  <si>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</si>
  <si>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</si>
  <si>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</si>
  <si>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</si>
  <si>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</si>
  <si>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</si>
  <si>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</si>
  <si>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</si>
  <si>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</si>
  <si>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</si>
  <si>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</si>
  <si>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</si>
  <si>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</si>
  <si>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</si>
  <si>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</si>
  <si>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</si>
  <si>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</si>
  <si>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</si>
  <si>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</si>
  <si>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</si>
  <si>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</si>
  <si>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</si>
  <si>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</si>
  <si>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</si>
  <si>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</si>
  <si>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</si>
  <si>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</si>
  <si>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</si>
  <si>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</si>
  <si>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</si>
  <si>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</si>
  <si>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</si>
  <si>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</si>
  <si>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</si>
  <si>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</si>
  <si>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</si>
  <si>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</si>
  <si>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</si>
  <si>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</si>
  <si>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</si>
  <si>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</si>
  <si>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</si>
  <si>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</si>
  <si>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</si>
  <si>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</si>
  <si>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</si>
  <si>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</si>
  <si>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</si>
  <si>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</si>
  <si>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</si>
  <si>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</si>
  <si>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</si>
  <si>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</si>
  <si>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</si>
  <si>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</si>
  <si>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</si>
  <si>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</si>
  <si>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</si>
  <si>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</si>
  <si>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</si>
  <si>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</si>
  <si>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</si>
  <si>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</si>
  <si>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</si>
  <si>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</si>
  <si>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</si>
  <si>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</si>
  <si>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</si>
  <si>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</si>
  <si>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</si>
  <si>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</si>
  <si>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</si>
  <si>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</si>
  <si>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</si>
  <si>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</si>
  <si>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</si>
  <si>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</si>
  <si>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</si>
  <si>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</si>
  <si>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</si>
  <si>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</si>
  <si>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</si>
  <si>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</si>
  <si>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</si>
  <si>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</si>
  <si>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</si>
  <si>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</si>
  <si>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</si>
  <si>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</si>
  <si>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</si>
  <si>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</si>
  <si>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</si>
  <si>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</si>
  <si>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</si>
  <si>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Nye regler for kvalitetskrav af vand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</si>
  <si>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</si>
  <si>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</si>
  <si>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</si>
  <si>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</si>
  <si>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dne økonomiske ramme for 2020 i alt</t>
  </si>
  <si>
    <t xml:space="preserve">Afgift for ledningsført vand (Fyns Hoved) </t>
  </si>
  <si>
    <t xml:space="preserve">kr. </t>
  </si>
  <si>
    <t xml:space="preserve">Ejendomsskat (Fyns Hoved) </t>
  </si>
  <si>
    <t>Fusion med Fyns Hoved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</si>
</sst>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3" fontId="8" fillId="0" borderId="1" xfId="0" applyNumberFormat="1" applyFont="1" applyFill="1" applyBorder="1" applyAlignment="1" applyProtection="1"/>
    <xf numFmtId="3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5" t="s">
        <v>192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56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22</v>
      </c>
      <c r="D14" s="57" t="s">
        <v>177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55</v>
      </c>
      <c r="D15" s="57" t="s">
        <v>133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57</v>
      </c>
      <c r="D16" s="57" t="s">
        <v>134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224</v>
      </c>
      <c r="D17" s="57" t="s">
        <v>66</v>
      </c>
      <c r="E17" s="58"/>
      <c r="F17" s="58"/>
      <c r="G17" s="59"/>
      <c r="H17" s="1"/>
      <c r="I17" s="1"/>
    </row>
    <row r="18" spans="1:9" x14ac:dyDescent="0.25">
      <c r="A18" s="1"/>
      <c r="B18" s="1"/>
      <c r="C18" s="34" t="s">
        <v>196</v>
      </c>
      <c r="D18" s="66" t="s">
        <v>162</v>
      </c>
      <c r="E18" s="67"/>
      <c r="F18" s="67"/>
      <c r="G18" s="68"/>
      <c r="H18" s="1"/>
      <c r="I18" s="1"/>
    </row>
    <row r="19" spans="1:9" x14ac:dyDescent="0.25">
      <c r="A19" s="1"/>
      <c r="B19" s="1"/>
      <c r="C19" s="34" t="s">
        <v>197</v>
      </c>
      <c r="D19" s="66" t="s">
        <v>163</v>
      </c>
      <c r="E19" s="67"/>
      <c r="F19" s="67"/>
      <c r="G19" s="68"/>
      <c r="H19" s="1"/>
      <c r="I19" s="1"/>
    </row>
    <row r="20" spans="1:9" x14ac:dyDescent="0.25">
      <c r="A20" s="1"/>
      <c r="B20" s="1"/>
      <c r="C20" s="34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25">
      <c r="A21" s="1"/>
      <c r="B21" s="1"/>
      <c r="C21" s="6" t="s">
        <v>198</v>
      </c>
      <c r="D21" s="75" t="s">
        <v>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140</v>
      </c>
      <c r="D22" s="61" t="s">
        <v>161</v>
      </c>
      <c r="E22" s="62"/>
      <c r="F22" s="62"/>
      <c r="G22" s="63"/>
      <c r="H22" s="1"/>
      <c r="I22" s="1"/>
    </row>
    <row r="23" spans="1:9" x14ac:dyDescent="0.25">
      <c r="A23" s="1"/>
      <c r="B23" s="1"/>
      <c r="C23" s="6" t="s">
        <v>8</v>
      </c>
      <c r="D23" s="61" t="s">
        <v>225</v>
      </c>
      <c r="E23" s="62"/>
      <c r="F23" s="62"/>
      <c r="G23" s="63"/>
      <c r="H23" s="1"/>
      <c r="I23" s="1"/>
    </row>
    <row r="24" spans="1:9" x14ac:dyDescent="0.25">
      <c r="A24" s="1"/>
      <c r="B24" s="1"/>
      <c r="C24" s="6" t="s">
        <v>9</v>
      </c>
      <c r="D24" s="61" t="s">
        <v>58</v>
      </c>
      <c r="E24" s="62"/>
      <c r="F24" s="62"/>
      <c r="G24" s="63"/>
      <c r="H24" s="1"/>
      <c r="I24" s="1"/>
    </row>
    <row r="25" spans="1:9" x14ac:dyDescent="0.25">
      <c r="A25" s="1"/>
      <c r="B25" s="1"/>
      <c r="C25" s="6" t="s">
        <v>199</v>
      </c>
      <c r="D25" s="61" t="s">
        <v>141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200</v>
      </c>
      <c r="D26" s="61" t="s">
        <v>142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201</v>
      </c>
      <c r="D27" s="61" t="s">
        <v>59</v>
      </c>
      <c r="E27" s="62"/>
      <c r="F27" s="62"/>
      <c r="G27" s="63"/>
      <c r="H27" s="1"/>
      <c r="I27" s="1"/>
    </row>
    <row r="28" spans="1:9" x14ac:dyDescent="0.25">
      <c r="A28" s="1"/>
      <c r="B28" s="1"/>
      <c r="C28" s="6" t="s">
        <v>183</v>
      </c>
      <c r="D28" s="61" t="s">
        <v>60</v>
      </c>
      <c r="E28" s="62"/>
      <c r="F28" s="62"/>
      <c r="G28" s="63"/>
      <c r="H28" s="1"/>
      <c r="I28" s="1"/>
    </row>
    <row r="29" spans="1:9" x14ac:dyDescent="0.25">
      <c r="A29" s="1"/>
      <c r="B29" s="1"/>
      <c r="C29" s="6" t="s">
        <v>61</v>
      </c>
      <c r="D29" s="69" t="s">
        <v>11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62</v>
      </c>
      <c r="D30" s="72" t="s">
        <v>184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2m3EZR5M+y6YaJA52hpBQVpSXVlTomGiyeaAyUGzo7ltgxnCP81aHWFFqIH2sNZj6F8Eoy5+kzkCAYjPpzISuQ==" saltValue="N8WJu0Bcn309LTHNKFCkK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204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1" t="s">
        <v>69</v>
      </c>
      <c r="C8" s="102"/>
      <c r="D8" s="103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5357214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33390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2153605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11670</v>
      </c>
      <c r="D13" s="14" t="s">
        <v>3</v>
      </c>
      <c r="E13" s="1"/>
      <c r="F13" s="1"/>
    </row>
    <row r="14" spans="1:6" x14ac:dyDescent="0.25">
      <c r="A14" s="1"/>
      <c r="B14" s="51" t="s">
        <v>244</v>
      </c>
      <c r="C14" s="9">
        <v>70962</v>
      </c>
      <c r="D14" s="14" t="s">
        <v>245</v>
      </c>
      <c r="E14" s="1"/>
      <c r="F14" s="1"/>
    </row>
    <row r="15" spans="1:6" x14ac:dyDescent="0.25">
      <c r="A15" s="1"/>
      <c r="B15" s="51" t="s">
        <v>246</v>
      </c>
      <c r="C15" s="9">
        <v>1233</v>
      </c>
      <c r="D15" s="14" t="s">
        <v>245</v>
      </c>
      <c r="E15" s="1"/>
      <c r="F15" s="1"/>
    </row>
    <row r="16" spans="1:6" x14ac:dyDescent="0.25">
      <c r="A16" s="1"/>
      <c r="B16" s="39" t="s">
        <v>71</v>
      </c>
      <c r="C16" s="12">
        <f>SUM(C10:C15)</f>
        <v>7628074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7931580.4948386606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/xCp3w010f6H9oz22QQfx697ds9GTWTFlmAS7MaDDgbTSZo/pOS88/uQJIWomYhUUqJt6uByXXIHkfC2QeKRtA==" saltValue="d4XYkZKUGUv66uu3FVqgz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5" t="s">
        <v>205</v>
      </c>
      <c r="C3" s="95"/>
      <c r="D3" s="95"/>
      <c r="E3" s="95"/>
      <c r="F3" s="95"/>
      <c r="G3" s="1"/>
    </row>
    <row r="4" spans="1:7" ht="15" customHeight="1" x14ac:dyDescent="0.25">
      <c r="A4" s="1"/>
      <c r="B4" s="95"/>
      <c r="C4" s="95"/>
      <c r="D4" s="95"/>
      <c r="E4" s="95"/>
      <c r="F4" s="95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101" t="s">
        <v>52</v>
      </c>
      <c r="C6" s="102"/>
      <c r="D6" s="102"/>
      <c r="E6" s="102"/>
      <c r="F6" s="103"/>
      <c r="G6" s="1"/>
    </row>
    <row r="7" spans="1:7" ht="15" customHeight="1" x14ac:dyDescent="0.25">
      <c r="A7" s="1"/>
      <c r="B7" s="104" t="s">
        <v>50</v>
      </c>
      <c r="C7" s="105"/>
      <c r="D7" s="106"/>
      <c r="E7" s="9">
        <v>-395960.8783333333</v>
      </c>
      <c r="F7" s="14" t="s">
        <v>3</v>
      </c>
      <c r="G7" s="1"/>
    </row>
    <row r="8" spans="1:7" ht="15" customHeight="1" x14ac:dyDescent="0.25">
      <c r="A8" s="1"/>
      <c r="B8" s="104" t="s">
        <v>51</v>
      </c>
      <c r="C8" s="105"/>
      <c r="D8" s="106"/>
      <c r="E8" s="9">
        <v>3229339.5036159977</v>
      </c>
      <c r="F8" s="14" t="s">
        <v>3</v>
      </c>
      <c r="G8" s="1"/>
    </row>
    <row r="9" spans="1:7" ht="15" customHeight="1" x14ac:dyDescent="0.25">
      <c r="A9" s="1"/>
      <c r="B9" s="112" t="s">
        <v>186</v>
      </c>
      <c r="C9" s="113"/>
      <c r="D9" s="114"/>
      <c r="E9" s="10">
        <f>SUM(E7:E8)</f>
        <v>2833378.6252826643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80" t="s">
        <v>188</v>
      </c>
      <c r="C11" s="81"/>
      <c r="D11" s="81"/>
      <c r="E11" s="81"/>
      <c r="F11" s="82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1" t="s">
        <v>165</v>
      </c>
      <c r="C14" s="102"/>
      <c r="D14" s="102"/>
      <c r="E14" s="102"/>
      <c r="F14" s="103"/>
      <c r="G14" s="1"/>
    </row>
    <row r="15" spans="1:7" x14ac:dyDescent="0.25">
      <c r="A15" s="1"/>
      <c r="B15" s="104" t="s">
        <v>166</v>
      </c>
      <c r="C15" s="105"/>
      <c r="D15" s="106"/>
      <c r="E15" s="9">
        <v>19236706.29536644</v>
      </c>
      <c r="F15" s="14" t="s">
        <v>3</v>
      </c>
      <c r="G15" s="1"/>
    </row>
    <row r="16" spans="1:7" x14ac:dyDescent="0.25">
      <c r="A16" s="1"/>
      <c r="B16" s="104" t="s">
        <v>167</v>
      </c>
      <c r="C16" s="105"/>
      <c r="D16" s="106"/>
      <c r="E16" s="9">
        <v>16510385</v>
      </c>
      <c r="F16" s="14" t="s">
        <v>3</v>
      </c>
      <c r="G16" s="1"/>
    </row>
    <row r="17" spans="1:7" x14ac:dyDescent="0.25">
      <c r="A17" s="1"/>
      <c r="B17" s="104" t="s">
        <v>49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12" t="s">
        <v>187</v>
      </c>
      <c r="C18" s="113"/>
      <c r="D18" s="114"/>
      <c r="E18" s="10">
        <f>E15-(E16-E17)</f>
        <v>2726321.29536644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80" t="s">
        <v>189</v>
      </c>
      <c r="C20" s="81"/>
      <c r="D20" s="81"/>
      <c r="E20" s="81"/>
      <c r="F20" s="82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01" t="s">
        <v>77</v>
      </c>
      <c r="C23" s="102"/>
      <c r="D23" s="102"/>
      <c r="E23" s="102"/>
      <c r="F23" s="103"/>
      <c r="G23" s="1"/>
    </row>
    <row r="24" spans="1:7" x14ac:dyDescent="0.25">
      <c r="A24" s="1"/>
      <c r="B24" s="104" t="s">
        <v>78</v>
      </c>
      <c r="C24" s="105"/>
      <c r="D24" s="106"/>
      <c r="E24" s="9">
        <v>17478336.9273206</v>
      </c>
      <c r="F24" s="14" t="s">
        <v>3</v>
      </c>
      <c r="G24" s="1"/>
    </row>
    <row r="25" spans="1:7" x14ac:dyDescent="0.25">
      <c r="A25" s="1"/>
      <c r="B25" s="104" t="s">
        <v>79</v>
      </c>
      <c r="C25" s="105"/>
      <c r="D25" s="106"/>
      <c r="E25" s="9">
        <v>18131661</v>
      </c>
      <c r="F25" s="14" t="s">
        <v>3</v>
      </c>
      <c r="G25" s="1"/>
    </row>
    <row r="26" spans="1:7" x14ac:dyDescent="0.25">
      <c r="A26" s="1"/>
      <c r="B26" s="104" t="s">
        <v>49</v>
      </c>
      <c r="C26" s="105"/>
      <c r="D26" s="106"/>
      <c r="E26" s="9">
        <v>0</v>
      </c>
      <c r="F26" s="14" t="s">
        <v>3</v>
      </c>
      <c r="G26" s="1"/>
    </row>
    <row r="27" spans="1:7" x14ac:dyDescent="0.25">
      <c r="A27" s="1"/>
      <c r="B27" s="112" t="s">
        <v>187</v>
      </c>
      <c r="C27" s="113"/>
      <c r="D27" s="114"/>
      <c r="E27" s="10">
        <f>E24-(E25-E26)</f>
        <v>-653324.07267940044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01" t="s">
        <v>242</v>
      </c>
      <c r="C31" s="102"/>
      <c r="D31" s="102"/>
      <c r="E31" s="102"/>
      <c r="F31" s="103"/>
      <c r="G31" s="1"/>
    </row>
    <row r="32" spans="1:7" x14ac:dyDescent="0.25">
      <c r="A32" s="1"/>
      <c r="B32" s="112" t="s">
        <v>243</v>
      </c>
      <c r="C32" s="113"/>
      <c r="D32" s="114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1416689.3126413322</v>
      </c>
      <c r="F32" s="17" t="s">
        <v>3</v>
      </c>
      <c r="G32" s="1"/>
    </row>
    <row r="33" spans="1:7" x14ac:dyDescent="0.25">
      <c r="A33" s="1"/>
      <c r="B33" s="101"/>
      <c r="C33" s="102"/>
      <c r="D33" s="102"/>
      <c r="E33" s="102"/>
      <c r="F33" s="103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1" t="s">
        <v>180</v>
      </c>
      <c r="C36" s="102"/>
      <c r="D36" s="102"/>
      <c r="E36" s="102"/>
      <c r="F36" s="103"/>
      <c r="G36" s="1"/>
    </row>
    <row r="37" spans="1:7" x14ac:dyDescent="0.25">
      <c r="A37" s="1"/>
      <c r="B37" s="115" t="s">
        <v>53</v>
      </c>
      <c r="C37" s="116"/>
      <c r="D37" s="117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5" t="s">
        <v>185</v>
      </c>
      <c r="C38" s="116"/>
      <c r="D38" s="117"/>
      <c r="E38" s="9">
        <v>2</v>
      </c>
      <c r="F38" s="14" t="s">
        <v>27</v>
      </c>
      <c r="G38" s="1"/>
    </row>
    <row r="39" spans="1:7" ht="15" customHeight="1" x14ac:dyDescent="0.25">
      <c r="A39" s="1"/>
      <c r="B39" s="112" t="s">
        <v>227</v>
      </c>
      <c r="C39" s="113"/>
      <c r="D39" s="114"/>
      <c r="E39" s="10">
        <f>E37/E38</f>
        <v>0</v>
      </c>
      <c r="F39" s="17" t="s">
        <v>3</v>
      </c>
      <c r="G39" s="1"/>
    </row>
    <row r="40" spans="1:7" x14ac:dyDescent="0.25">
      <c r="A40" s="1"/>
      <c r="B40" s="101"/>
      <c r="C40" s="102"/>
      <c r="D40" s="102"/>
      <c r="E40" s="102"/>
      <c r="F40" s="103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WJFMv1bRNhH1V0dluGUwYWvCN/6sgKfZb7sXLOGBIPNGfQxnfgPHIHpll2Ge1sGOzCOYOS1ULLllytjlBrFHw==" saltValue="wKVtZQN3C4NAF4Ws9E/CO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5" t="s">
        <v>228</v>
      </c>
      <c r="C3" s="95"/>
      <c r="D3" s="95"/>
      <c r="E3" s="95"/>
      <c r="F3" s="95"/>
      <c r="G3" s="1"/>
    </row>
    <row r="4" spans="1:7" ht="1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159</v>
      </c>
      <c r="C8" s="102"/>
      <c r="D8" s="102"/>
      <c r="E8" s="102"/>
      <c r="F8" s="102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tmibOVw4HdElpDoSuB3TKcQo1XZQF8nWCH6p0eCfeiwqvgdVHjokdHlucPWEXi/YqFdHSNyGt8X27WGY7M3lA==" saltValue="EWyfxpy6vdJh2Ky+R4/tj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230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52" t="s">
        <v>240</v>
      </c>
      <c r="C10" s="53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101" t="s">
        <v>231</v>
      </c>
      <c r="C11" s="102"/>
      <c r="D11" s="10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UzsIP49WDem6Q75zds+9bLKDLaj3mnd8sEXqcdMsQzYtbj56X+6069tvuPvjEup9cRVREOWkZ2QCMMUm9C63g==" saltValue="Feu5tBZBt02JF3MaKrnby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206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4" t="s">
        <v>238</v>
      </c>
      <c r="C11" s="24">
        <v>280463</v>
      </c>
      <c r="D11" s="14" t="s">
        <v>3</v>
      </c>
      <c r="E11" s="9">
        <v>74938</v>
      </c>
      <c r="F11" s="14" t="s">
        <v>3</v>
      </c>
      <c r="G11" s="1"/>
    </row>
    <row r="12" spans="1:7" x14ac:dyDescent="0.25">
      <c r="A12" s="1"/>
      <c r="B12" s="54" t="s">
        <v>247</v>
      </c>
      <c r="C12" s="55">
        <v>232750</v>
      </c>
      <c r="D12" s="14" t="s">
        <v>245</v>
      </c>
      <c r="E12" s="56">
        <v>25987</v>
      </c>
      <c r="F12" s="14" t="s">
        <v>245</v>
      </c>
      <c r="G12" s="1"/>
    </row>
    <row r="13" spans="1:7" x14ac:dyDescent="0.25">
      <c r="A13" s="1"/>
      <c r="B13" s="39" t="s">
        <v>63</v>
      </c>
      <c r="C13" s="12">
        <f>SUM(C10:C12)</f>
        <v>513213</v>
      </c>
      <c r="D13" s="13" t="s">
        <v>3</v>
      </c>
      <c r="E13" s="12">
        <f>SUM(E10:E12)</f>
        <v>100925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523323.29610000004</v>
      </c>
      <c r="D14" s="13" t="s">
        <v>3</v>
      </c>
      <c r="E14" s="12">
        <f>E13*(1+'Fane 14. Nøgletal'!C12)</f>
        <v>102913.2225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fGUYR6qryk0UF8PsEP6nXSzuGGUeODii1I4aPe7gS8mgoW2hWRfLtEL7uIhbz8tvwgufJW1EKyhHd4ep1zOEg==" saltValue="NUt9ijilwcHmE5kOLO8u3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207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168</v>
      </c>
      <c r="C8" s="102"/>
      <c r="D8" s="102"/>
      <c r="E8" s="102"/>
      <c r="F8" s="103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1" t="s">
        <v>169</v>
      </c>
      <c r="C16" s="102"/>
      <c r="D16" s="102"/>
      <c r="E16" s="102"/>
      <c r="F16" s="103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1" t="s">
        <v>170</v>
      </c>
      <c r="C24" s="102"/>
      <c r="D24" s="102"/>
      <c r="E24" s="102"/>
      <c r="F24" s="103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1" t="s">
        <v>171</v>
      </c>
      <c r="C32" s="102"/>
      <c r="D32" s="102"/>
      <c r="E32" s="102"/>
      <c r="F32" s="103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SrDgTAGJ01nV2QGjjt4L3VMwaYWpB+yEjE+f3luy/dCVXsKIkoQdz381LoALRSuGXt/BkeBsDLFPh5xR3SSPg==" saltValue="jHZMefFp+uhq18Yk9Meb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208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31</v>
      </c>
      <c r="C8" s="102"/>
      <c r="D8" s="102"/>
      <c r="E8" s="102"/>
      <c r="F8" s="103"/>
      <c r="G8" s="1"/>
    </row>
    <row r="9" spans="1:7" ht="15" customHeight="1" x14ac:dyDescent="0.25">
      <c r="A9" s="1"/>
      <c r="B9" s="41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ftpJNZ/fG/sZEmi29t+kkXJ76HSYbFnYC1XDZJonMhb3CoFfR+CfbqlUc9HRP81yVTE9lZrYCB3+BNAd/7uYg==" saltValue="Ear95EO5njg+bBGtZ3PR4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209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156</v>
      </c>
      <c r="C8" s="102"/>
      <c r="D8" s="102"/>
      <c r="E8" s="102"/>
      <c r="F8" s="103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1" t="s">
        <v>157</v>
      </c>
      <c r="C15" s="102"/>
      <c r="D15" s="102"/>
      <c r="E15" s="102"/>
      <c r="F15" s="103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01" t="s">
        <v>155</v>
      </c>
      <c r="C22" s="102"/>
      <c r="D22" s="102"/>
      <c r="E22" s="102"/>
      <c r="F22" s="103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1" t="s">
        <v>158</v>
      </c>
      <c r="C29" s="102"/>
      <c r="D29" s="102"/>
      <c r="E29" s="102"/>
      <c r="F29" s="103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7uLdfMlprnYfVWcq2FVC1thkukVjH1iohb3FEfmgHd2fJ/HLc4DL50Oh0BE2aoFwOqMcMbYECXPiSANwatf4w==" saltValue="b5g5lj8peHaN/peEB2S/R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18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4" t="s">
        <v>12</v>
      </c>
      <c r="C9" s="105"/>
      <c r="D9" s="105"/>
      <c r="E9" s="105"/>
      <c r="F9" s="106"/>
      <c r="G9" s="9">
        <v>5073580</v>
      </c>
      <c r="H9" s="14" t="s">
        <v>3</v>
      </c>
      <c r="I9" s="1"/>
    </row>
    <row r="10" spans="1:9" x14ac:dyDescent="0.25">
      <c r="A10" s="1"/>
      <c r="B10" s="104" t="s">
        <v>135</v>
      </c>
      <c r="C10" s="105"/>
      <c r="D10" s="105"/>
      <c r="E10" s="105"/>
      <c r="F10" s="106"/>
      <c r="G10" s="9">
        <v>0</v>
      </c>
      <c r="H10" s="14" t="s">
        <v>3</v>
      </c>
      <c r="I10" s="1"/>
    </row>
    <row r="11" spans="1:9" x14ac:dyDescent="0.25">
      <c r="A11" s="1"/>
      <c r="B11" s="104" t="s">
        <v>80</v>
      </c>
      <c r="C11" s="105"/>
      <c r="D11" s="105"/>
      <c r="E11" s="105"/>
      <c r="F11" s="106"/>
      <c r="G11" s="9">
        <v>-4567637.7566137565</v>
      </c>
      <c r="H11" s="14" t="s">
        <v>3</v>
      </c>
      <c r="I11" s="1"/>
    </row>
    <row r="12" spans="1:9" x14ac:dyDescent="0.25">
      <c r="A12" s="1"/>
      <c r="B12" s="118" t="s">
        <v>15</v>
      </c>
      <c r="C12" s="119"/>
      <c r="D12" s="119"/>
      <c r="E12" s="119"/>
      <c r="F12" s="120"/>
      <c r="G12" s="19">
        <f>(G9+G10)+G11</f>
        <v>505942.24338624347</v>
      </c>
      <c r="H12" s="18" t="s">
        <v>3</v>
      </c>
      <c r="I12" s="1"/>
    </row>
    <row r="13" spans="1:9" x14ac:dyDescent="0.25">
      <c r="A13" s="1"/>
      <c r="B13" s="104" t="s">
        <v>13</v>
      </c>
      <c r="C13" s="105"/>
      <c r="D13" s="105"/>
      <c r="E13" s="105"/>
      <c r="F13" s="106"/>
      <c r="G13" s="9">
        <v>1</v>
      </c>
      <c r="H13" s="14" t="s">
        <v>27</v>
      </c>
      <c r="I13" s="1"/>
    </row>
    <row r="14" spans="1:9" x14ac:dyDescent="0.25">
      <c r="A14" s="1"/>
      <c r="B14" s="101" t="s">
        <v>136</v>
      </c>
      <c r="C14" s="102"/>
      <c r="D14" s="102"/>
      <c r="E14" s="102"/>
      <c r="F14" s="103"/>
      <c r="G14" s="12">
        <f>IF(G13 = 0,0,-G12/G13)</f>
        <v>-505942.24338624347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waXUNqeXOwHga0Wk2/rl8NV3EVyBlIbzK03COsQBFSfBpZNWCvuPCB9dlXAZB9W0KbdOu8bwoUNcubG6LQL+w==" saltValue="lH3zgURlsJRKb1SaFHYVr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5" t="s">
        <v>54</v>
      </c>
      <c r="C3" s="95"/>
      <c r="D3" s="1"/>
    </row>
    <row r="4" spans="1:4" ht="25.5" customHeight="1" x14ac:dyDescent="0.25">
      <c r="A4" s="1"/>
      <c r="B4" s="95"/>
      <c r="C4" s="9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101"/>
      <c r="C13" s="103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PoMk3vX0UK5c/jZcVQpwsrA0SrJBi+G/83GD/4yOXF3QdVsOo6KDLjP/X/aVepAj041sLNADV5pr9w96LC1POA==" saltValue="i6DNUL31A38RhNZWh7fcx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9471745.7160645686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523323.29610000004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102913.2225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172409.36201791119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-116101.31509429221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-41908.398107578483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10112381.883480608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7931580.4948386606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-505942.24338624347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1416689.3126413322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18954709.447574362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69S3NpBdrTR7DqbhY9EfH1Wv2FKlnSgOICPzEyvotpqt7i+xXP8VO3GVOJd7LVCalcTbezgATgrG0TiiBoghQ==" saltValue="fMfEqRuRTNI9pPxOXPSrj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29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10112381.883480608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199213.92310456798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-116020.74078161677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-131404.3560596999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10064170.709743859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8087832.6305869827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18152003.340330843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CNQpnDI+F01chahD9PqH4uWYVwAkSJaGW2CdvZiY8bLrZZbjO9FCrdJNFnDwd2BIFUfFSbdz4opTNgxRtal5Q==" saltValue="Tc2uKBnQl0A8P+qEXi6/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193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29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10064170.709743859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198264.16298195402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-115940.22238751434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-130187.62005285222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10016307.030285446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8247162.9334095465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18263469.963694993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d5HWBgLn6fkbOxhoRZ8u71PoeAQP3737fncqwvvg/Brl1wBxWTqSoTHEN7Od+BiuxI0VotsPhVdTW8tGRxyfA==" saltValue="tXmQGqE0ZHI1sAQF2Pax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194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29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10016307.030285446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197321.24849662327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-115859.75987317741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-128982.15038872523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9968786.3685201667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8409632.0431977138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18378418.411717881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+oIv1/GozadeDc2/hGT6+QvYwHhdgRbnvR5CF7fQBjZfQ0s9KfdW8jmQrTYKbPYylwIzGvT0qsHrM8Dug2qzPQ==" saltValue="g9O2ssZNsyE1UdXD0LNcA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221</v>
      </c>
      <c r="C3" s="95"/>
      <c r="D3" s="95"/>
      <c r="E3" s="95"/>
      <c r="F3" s="95"/>
      <c r="G3" s="1"/>
    </row>
    <row r="4" spans="1:7" ht="29.2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6" t="s">
        <v>81</v>
      </c>
      <c r="C9" s="97"/>
      <c r="D9" s="98"/>
      <c r="E9" s="7">
        <v>9530459.5562042873</v>
      </c>
      <c r="F9" s="8" t="s">
        <v>3</v>
      </c>
      <c r="G9" s="1"/>
    </row>
    <row r="10" spans="1:7" x14ac:dyDescent="0.25">
      <c r="A10" s="1"/>
      <c r="B10" s="96" t="s">
        <v>82</v>
      </c>
      <c r="C10" s="97"/>
      <c r="D10" s="98"/>
      <c r="E10" s="7">
        <v>0</v>
      </c>
      <c r="F10" s="8" t="s">
        <v>3</v>
      </c>
      <c r="G10" s="1"/>
    </row>
    <row r="11" spans="1:7" x14ac:dyDescent="0.25">
      <c r="A11" s="1"/>
      <c r="B11" s="96" t="s">
        <v>83</v>
      </c>
      <c r="C11" s="97"/>
      <c r="D11" s="98"/>
      <c r="E11" s="7">
        <v>-74116.560460154011</v>
      </c>
      <c r="F11" s="8" t="s">
        <v>3</v>
      </c>
      <c r="G11" s="1"/>
    </row>
    <row r="12" spans="1:7" x14ac:dyDescent="0.25">
      <c r="A12" s="1"/>
      <c r="B12" s="83" t="s">
        <v>67</v>
      </c>
      <c r="C12" s="84"/>
      <c r="D12" s="85"/>
      <c r="E12" s="7">
        <v>0</v>
      </c>
      <c r="F12" s="8" t="s">
        <v>3</v>
      </c>
      <c r="G12" s="1"/>
    </row>
    <row r="13" spans="1:7" x14ac:dyDescent="0.25">
      <c r="A13" s="1"/>
      <c r="B13" s="83" t="s">
        <v>68</v>
      </c>
      <c r="C13" s="84"/>
      <c r="D13" s="85"/>
      <c r="E13" s="9">
        <v>0</v>
      </c>
      <c r="F13" s="8" t="s">
        <v>3</v>
      </c>
      <c r="G13" s="1"/>
    </row>
    <row r="14" spans="1:7" x14ac:dyDescent="0.25">
      <c r="A14" s="1"/>
      <c r="B14" s="83" t="s">
        <v>41</v>
      </c>
      <c r="C14" s="84"/>
      <c r="D14" s="85"/>
      <c r="E14" s="9">
        <v>0</v>
      </c>
      <c r="F14" s="8" t="s">
        <v>3</v>
      </c>
      <c r="G14" s="1"/>
    </row>
    <row r="15" spans="1:7" x14ac:dyDescent="0.25">
      <c r="A15" s="1"/>
      <c r="B15" s="83" t="s">
        <v>40</v>
      </c>
      <c r="C15" s="84"/>
      <c r="D15" s="85"/>
      <c r="E15" s="9">
        <v>0</v>
      </c>
      <c r="F15" s="8" t="s">
        <v>3</v>
      </c>
      <c r="G15" s="1"/>
    </row>
    <row r="16" spans="1:7" x14ac:dyDescent="0.25">
      <c r="A16" s="1"/>
      <c r="B16" s="83" t="s">
        <v>43</v>
      </c>
      <c r="C16" s="84"/>
      <c r="D16" s="85"/>
      <c r="E16" s="9">
        <v>0</v>
      </c>
      <c r="F16" s="8" t="s">
        <v>3</v>
      </c>
      <c r="G16" s="1"/>
    </row>
    <row r="17" spans="1:7" x14ac:dyDescent="0.25">
      <c r="A17" s="1"/>
      <c r="B17" s="83" t="s">
        <v>42</v>
      </c>
      <c r="C17" s="84"/>
      <c r="D17" s="85"/>
      <c r="E17" s="9">
        <v>0</v>
      </c>
      <c r="F17" s="8" t="s">
        <v>3</v>
      </c>
      <c r="G17" s="1"/>
    </row>
    <row r="18" spans="1:7" x14ac:dyDescent="0.25">
      <c r="A18" s="1"/>
      <c r="B18" s="83" t="s">
        <v>26</v>
      </c>
      <c r="C18" s="84"/>
      <c r="D18" s="85"/>
      <c r="E18" s="9">
        <f>SUM(E9:E17)*'Fane 14. Nøgletal'!C11</f>
        <v>159812.19662807585</v>
      </c>
      <c r="F18" s="8" t="s">
        <v>3</v>
      </c>
      <c r="G18" s="1"/>
    </row>
    <row r="19" spans="1:7" x14ac:dyDescent="0.25">
      <c r="A19" s="1"/>
      <c r="B19" s="83" t="s">
        <v>10</v>
      </c>
      <c r="C19" s="84"/>
      <c r="D19" s="85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83" t="s">
        <v>38</v>
      </c>
      <c r="C20" s="84"/>
      <c r="D20" s="85"/>
      <c r="E20" s="9">
        <f>-'Fane 4.1. Gen. krav - drift'!G20</f>
        <v>-105792.37397535608</v>
      </c>
      <c r="F20" s="8" t="s">
        <v>3</v>
      </c>
      <c r="G20" s="1"/>
    </row>
    <row r="21" spans="1:7" x14ac:dyDescent="0.25">
      <c r="A21" s="1"/>
      <c r="B21" s="83" t="s">
        <v>39</v>
      </c>
      <c r="C21" s="84"/>
      <c r="D21" s="85"/>
      <c r="E21" s="9">
        <f>-'Fane 4.2. Gen. krav - anlæg'!G19</f>
        <v>-38617.102332285358</v>
      </c>
      <c r="F21" s="8" t="s">
        <v>3</v>
      </c>
      <c r="G21" s="1"/>
    </row>
    <row r="22" spans="1:7" x14ac:dyDescent="0.25">
      <c r="A22" s="1"/>
      <c r="B22" s="86" t="s">
        <v>28</v>
      </c>
      <c r="C22" s="87"/>
      <c r="D22" s="88"/>
      <c r="E22" s="10">
        <f>SUM(E9:E21)</f>
        <v>9471745.7160645686</v>
      </c>
      <c r="F22" s="11" t="s">
        <v>3</v>
      </c>
      <c r="G22" s="1"/>
    </row>
    <row r="23" spans="1:7" x14ac:dyDescent="0.25">
      <c r="A23" s="1"/>
      <c r="B23" s="99" t="s">
        <v>17</v>
      </c>
      <c r="C23" s="100"/>
      <c r="D23" s="100"/>
      <c r="E23" s="40"/>
      <c r="F23" s="22"/>
      <c r="G23" s="1"/>
    </row>
    <row r="24" spans="1:7" x14ac:dyDescent="0.25">
      <c r="A24" s="1"/>
      <c r="B24" s="89" t="s">
        <v>17</v>
      </c>
      <c r="C24" s="90"/>
      <c r="D24" s="91"/>
      <c r="E24" s="10">
        <v>7975621.0386440782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41953.294449144632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9" t="s">
        <v>19</v>
      </c>
      <c r="C28" s="90"/>
      <c r="D28" s="91"/>
      <c r="E28" s="10">
        <v>-505942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9" t="s">
        <v>131</v>
      </c>
      <c r="C30" s="90"/>
      <c r="D30" s="91"/>
      <c r="E30" s="10">
        <v>1490615.1476039484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18473993.196761739</v>
      </c>
      <c r="F31" s="13" t="s">
        <v>3</v>
      </c>
      <c r="G31" s="1"/>
    </row>
    <row r="32" spans="1:7" ht="28.15" customHeight="1" x14ac:dyDescent="0.25">
      <c r="A32" s="1"/>
      <c r="B32" s="80" t="s">
        <v>189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qw34ed+Mvw8jRFo479ScTWtftqXARAXtJpeJvWGe4r15EwymKD9bvgHyYFpx3WsJSlmpPRbsaEf0o/2GekYQA==" saltValue="DcLJjtXxn2sFAViutNNbd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202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01" t="s">
        <v>97</v>
      </c>
      <c r="C5" s="102"/>
      <c r="D5" s="102"/>
      <c r="E5" s="102"/>
      <c r="F5" s="102"/>
      <c r="G5" s="102"/>
      <c r="H5" s="103"/>
      <c r="I5" s="1"/>
    </row>
    <row r="6" spans="1:9" x14ac:dyDescent="0.25">
      <c r="A6" s="1"/>
      <c r="B6" s="104" t="s">
        <v>86</v>
      </c>
      <c r="C6" s="105"/>
      <c r="D6" s="105"/>
      <c r="E6" s="105"/>
      <c r="F6" s="106"/>
      <c r="G6" s="26">
        <v>5348267.9622022836</v>
      </c>
      <c r="H6" s="14" t="s">
        <v>3</v>
      </c>
      <c r="I6" s="1"/>
    </row>
    <row r="7" spans="1:9" x14ac:dyDescent="0.25">
      <c r="A7" s="1"/>
      <c r="B7" s="104" t="s">
        <v>87</v>
      </c>
      <c r="C7" s="105"/>
      <c r="D7" s="105"/>
      <c r="E7" s="105"/>
      <c r="F7" s="106"/>
      <c r="G7" s="26">
        <f>G6*'Fane 14. Nøgletal'!C25</f>
        <v>106965.35924404567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1" t="s">
        <v>98</v>
      </c>
      <c r="C10" s="102"/>
      <c r="D10" s="102"/>
      <c r="E10" s="102"/>
      <c r="F10" s="102"/>
      <c r="G10" s="102"/>
      <c r="H10" s="103"/>
      <c r="I10" s="1"/>
    </row>
    <row r="11" spans="1:9" x14ac:dyDescent="0.25">
      <c r="A11" s="1"/>
      <c r="B11" s="104" t="s">
        <v>88</v>
      </c>
      <c r="C11" s="105"/>
      <c r="D11" s="105"/>
      <c r="E11" s="105"/>
      <c r="F11" s="106"/>
      <c r="G11" s="26">
        <f>(G6-G7)*(1+'Fane 14. Nøgletal'!C9)</f>
        <v>5307867.1460158071</v>
      </c>
      <c r="H11" s="14" t="s">
        <v>3</v>
      </c>
      <c r="I11" s="1"/>
    </row>
    <row r="12" spans="1:9" x14ac:dyDescent="0.25">
      <c r="A12" s="1"/>
      <c r="B12" s="107" t="s">
        <v>89</v>
      </c>
      <c r="C12" s="108"/>
      <c r="D12" s="108"/>
      <c r="E12" s="108"/>
      <c r="F12" s="109"/>
      <c r="G12" s="26">
        <v>0</v>
      </c>
      <c r="H12" s="14" t="s">
        <v>3</v>
      </c>
      <c r="I12" s="1"/>
    </row>
    <row r="13" spans="1:9" x14ac:dyDescent="0.25">
      <c r="A13" s="1"/>
      <c r="B13" s="104" t="s">
        <v>90</v>
      </c>
      <c r="C13" s="105"/>
      <c r="D13" s="105"/>
      <c r="E13" s="105"/>
      <c r="F13" s="106"/>
      <c r="G13" s="26">
        <f>(G11+G12)*'Fane 14. Nøgletal'!C25</f>
        <v>106157.34292031615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1" t="s">
        <v>99</v>
      </c>
      <c r="C16" s="102"/>
      <c r="D16" s="102"/>
      <c r="E16" s="102"/>
      <c r="F16" s="102"/>
      <c r="G16" s="102"/>
      <c r="H16" s="103"/>
      <c r="I16" s="1"/>
    </row>
    <row r="17" spans="1:9" x14ac:dyDescent="0.25">
      <c r="A17" s="1"/>
      <c r="B17" s="104" t="s">
        <v>91</v>
      </c>
      <c r="C17" s="105"/>
      <c r="D17" s="105"/>
      <c r="E17" s="105"/>
      <c r="F17" s="106"/>
      <c r="G17" s="26">
        <f>(G13/'Fane 14. Nøgletal'!C25-G13)*(1+'Fane 14. Nøgletal'!C11)</f>
        <v>5289618.6987678036</v>
      </c>
      <c r="H17" s="14" t="s">
        <v>3</v>
      </c>
      <c r="I17" s="1"/>
    </row>
    <row r="18" spans="1:9" x14ac:dyDescent="0.25">
      <c r="A18" s="1"/>
      <c r="B18" s="104" t="s">
        <v>222</v>
      </c>
      <c r="C18" s="105"/>
      <c r="D18" s="105"/>
      <c r="E18" s="105"/>
      <c r="F18" s="106"/>
      <c r="G18" s="26">
        <v>0</v>
      </c>
      <c r="H18" s="14" t="s">
        <v>3</v>
      </c>
      <c r="I18" s="1"/>
    </row>
    <row r="19" spans="1:9" x14ac:dyDescent="0.25">
      <c r="A19" s="1"/>
      <c r="B19" s="107" t="s">
        <v>92</v>
      </c>
      <c r="C19" s="108"/>
      <c r="D19" s="108"/>
      <c r="E19" s="108"/>
      <c r="F19" s="109"/>
      <c r="G19" s="26">
        <v>0</v>
      </c>
      <c r="H19" s="14" t="s">
        <v>3</v>
      </c>
      <c r="I19" s="1"/>
    </row>
    <row r="20" spans="1:9" x14ac:dyDescent="0.25">
      <c r="A20" s="1"/>
      <c r="B20" s="104" t="s">
        <v>93</v>
      </c>
      <c r="C20" s="105"/>
      <c r="D20" s="105"/>
      <c r="E20" s="105"/>
      <c r="F20" s="106"/>
      <c r="G20" s="26">
        <f>SUM(G17:G19)*'Fane 14. Nøgletal'!C25</f>
        <v>105792.37397535608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1" t="s">
        <v>100</v>
      </c>
      <c r="C23" s="102"/>
      <c r="D23" s="102"/>
      <c r="E23" s="102"/>
      <c r="F23" s="102"/>
      <c r="G23" s="102"/>
      <c r="H23" s="103"/>
      <c r="I23" s="1"/>
    </row>
    <row r="24" spans="1:9" x14ac:dyDescent="0.25">
      <c r="A24" s="1"/>
      <c r="B24" s="104" t="s">
        <v>94</v>
      </c>
      <c r="C24" s="105"/>
      <c r="D24" s="105"/>
      <c r="E24" s="105"/>
      <c r="F24" s="106"/>
      <c r="G24" s="26">
        <f>(SUM(G17:G19)-G20)*(1+'Fane 14. Nøgletal'!C11)</f>
        <v>5271432.9896814395</v>
      </c>
      <c r="H24" s="14" t="s">
        <v>3</v>
      </c>
      <c r="I24" s="1"/>
    </row>
    <row r="25" spans="1:9" x14ac:dyDescent="0.25">
      <c r="A25" s="1"/>
      <c r="B25" s="107" t="s">
        <v>95</v>
      </c>
      <c r="C25" s="108"/>
      <c r="D25" s="108"/>
      <c r="E25" s="108"/>
      <c r="F25" s="109"/>
      <c r="G25" s="26">
        <f>('Fane 2.1. Økonomisk ramme 2020'!C10+'Fane 2.1. Økonomisk ramme 2020'!C12+'Fane 2.1. Økonomisk ramme 2020'!C14)*(1+'Fane 14. Nøgletal'!C12)</f>
        <v>533632.76503317012</v>
      </c>
      <c r="H25" s="14" t="s">
        <v>3</v>
      </c>
      <c r="I25" s="1"/>
    </row>
    <row r="26" spans="1:9" x14ac:dyDescent="0.25">
      <c r="A26" s="1"/>
      <c r="B26" s="104" t="s">
        <v>96</v>
      </c>
      <c r="C26" s="105"/>
      <c r="D26" s="105"/>
      <c r="E26" s="105"/>
      <c r="F26" s="106"/>
      <c r="G26" s="26">
        <f>(G24+G25)*'Fane 14. Nøgletal'!C25</f>
        <v>116101.31509429221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1" t="s">
        <v>191</v>
      </c>
      <c r="C29" s="102"/>
      <c r="D29" s="102"/>
      <c r="E29" s="102"/>
      <c r="F29" s="102"/>
      <c r="G29" s="102"/>
      <c r="H29" s="103"/>
      <c r="I29" s="1"/>
    </row>
    <row r="30" spans="1:9" x14ac:dyDescent="0.25">
      <c r="A30" s="1"/>
      <c r="B30" s="104" t="s">
        <v>103</v>
      </c>
      <c r="C30" s="105"/>
      <c r="D30" s="105"/>
      <c r="E30" s="105"/>
      <c r="F30" s="106"/>
      <c r="G30" s="26">
        <f>(G24+G25-G26)*(1+'Fane 14. Nøgletal'!C12)</f>
        <v>5801037.0390808387</v>
      </c>
      <c r="H30" s="14" t="s">
        <v>3</v>
      </c>
      <c r="I30" s="1"/>
    </row>
    <row r="31" spans="1:9" x14ac:dyDescent="0.25">
      <c r="A31" s="1"/>
      <c r="B31" s="104" t="s">
        <v>145</v>
      </c>
      <c r="C31" s="105"/>
      <c r="D31" s="105"/>
      <c r="E31" s="105"/>
      <c r="F31" s="106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4" t="s">
        <v>220</v>
      </c>
      <c r="C32" s="105"/>
      <c r="D32" s="105"/>
      <c r="E32" s="105"/>
      <c r="F32" s="106"/>
      <c r="G32" s="26">
        <f>(G30+G31)*'Fane 14. Nøgletal'!C25</f>
        <v>116020.74078161677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01" t="s">
        <v>126</v>
      </c>
      <c r="C35" s="102"/>
      <c r="D35" s="102"/>
      <c r="E35" s="102"/>
      <c r="F35" s="102"/>
      <c r="G35" s="102"/>
      <c r="H35" s="103"/>
      <c r="I35" s="1"/>
    </row>
    <row r="36" spans="1:9" x14ac:dyDescent="0.25">
      <c r="A36" s="1"/>
      <c r="B36" s="104" t="s">
        <v>125</v>
      </c>
      <c r="C36" s="105"/>
      <c r="D36" s="105"/>
      <c r="E36" s="105"/>
      <c r="F36" s="106"/>
      <c r="G36" s="26">
        <f>(G30-G32)*(1+'Fane 14. Nøgletal'!C12)</f>
        <v>5797011.1193757169</v>
      </c>
      <c r="H36" s="14" t="s">
        <v>3</v>
      </c>
      <c r="I36" s="1"/>
    </row>
    <row r="37" spans="1:9" x14ac:dyDescent="0.25">
      <c r="A37" s="1"/>
      <c r="B37" s="104" t="s">
        <v>146</v>
      </c>
      <c r="C37" s="105"/>
      <c r="D37" s="105"/>
      <c r="E37" s="105"/>
      <c r="F37" s="106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4" t="s">
        <v>104</v>
      </c>
      <c r="C38" s="105"/>
      <c r="D38" s="105"/>
      <c r="E38" s="105"/>
      <c r="F38" s="106"/>
      <c r="G38" s="26">
        <f>(G36+G37)*'Fane 14. Nøgletal'!C25</f>
        <v>115940.22238751434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01" t="s">
        <v>127</v>
      </c>
      <c r="C41" s="102"/>
      <c r="D41" s="102"/>
      <c r="E41" s="102"/>
      <c r="F41" s="102"/>
      <c r="G41" s="102"/>
      <c r="H41" s="103"/>
      <c r="I41" s="1"/>
    </row>
    <row r="42" spans="1:9" x14ac:dyDescent="0.25">
      <c r="A42" s="1"/>
      <c r="B42" s="104" t="s">
        <v>124</v>
      </c>
      <c r="C42" s="105"/>
      <c r="D42" s="105"/>
      <c r="E42" s="105"/>
      <c r="F42" s="106"/>
      <c r="G42" s="26">
        <f>(G36-G38)*(1+'Fane 14. Nøgletal'!C12)</f>
        <v>5792987.9936588705</v>
      </c>
      <c r="H42" s="14" t="s">
        <v>3</v>
      </c>
      <c r="I42" s="1"/>
    </row>
    <row r="43" spans="1:9" x14ac:dyDescent="0.25">
      <c r="A43" s="1"/>
      <c r="B43" s="104" t="s">
        <v>147</v>
      </c>
      <c r="C43" s="105"/>
      <c r="D43" s="105"/>
      <c r="E43" s="105"/>
      <c r="F43" s="106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4" t="s">
        <v>105</v>
      </c>
      <c r="C44" s="105"/>
      <c r="D44" s="105"/>
      <c r="E44" s="105"/>
      <c r="F44" s="106"/>
      <c r="G44" s="26">
        <f>(G42+G43)*'Fane 14. Nøgletal'!C25</f>
        <v>115859.75987317741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nMDjTMvPQN7j4AyAZq7/zHFe6gUfE/7IrA8L8zZMa7VypRXzK4ndwQ6ROw45NJqNUiRDNOMwoUjfraeA2P33w==" saltValue="R02kZW5gFEMibOgAd2q3Q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0" t="s">
        <v>203</v>
      </c>
      <c r="C2" s="110"/>
      <c r="D2" s="110"/>
      <c r="E2" s="110"/>
      <c r="F2" s="110"/>
      <c r="G2" s="110"/>
      <c r="H2" s="110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101" t="s">
        <v>101</v>
      </c>
      <c r="C4" s="102"/>
      <c r="D4" s="102"/>
      <c r="E4" s="102"/>
      <c r="F4" s="102"/>
      <c r="G4" s="102"/>
      <c r="H4" s="103"/>
      <c r="I4" s="1"/>
    </row>
    <row r="5" spans="1:9" x14ac:dyDescent="0.25">
      <c r="A5" s="1"/>
      <c r="B5" s="104" t="s">
        <v>106</v>
      </c>
      <c r="C5" s="105"/>
      <c r="D5" s="105"/>
      <c r="E5" s="105"/>
      <c r="F5" s="106"/>
      <c r="G5" s="26">
        <v>4464306.9897765834</v>
      </c>
      <c r="H5" s="14" t="s">
        <v>3</v>
      </c>
      <c r="I5" s="1"/>
    </row>
    <row r="6" spans="1:9" x14ac:dyDescent="0.25">
      <c r="A6" s="1"/>
      <c r="B6" s="104" t="s">
        <v>102</v>
      </c>
      <c r="C6" s="105"/>
      <c r="D6" s="105"/>
      <c r="E6" s="105"/>
      <c r="F6" s="106"/>
      <c r="G6" s="26">
        <f>G5*'Fane 14. Nøgletal'!C17</f>
        <v>40625.19360696691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1" t="s">
        <v>107</v>
      </c>
      <c r="C9" s="102"/>
      <c r="D9" s="102"/>
      <c r="E9" s="102"/>
      <c r="F9" s="102"/>
      <c r="G9" s="102"/>
      <c r="H9" s="103"/>
      <c r="I9" s="1"/>
    </row>
    <row r="10" spans="1:9" x14ac:dyDescent="0.25">
      <c r="A10" s="1"/>
      <c r="B10" s="104" t="s">
        <v>108</v>
      </c>
      <c r="C10" s="105"/>
      <c r="D10" s="105"/>
      <c r="E10" s="105"/>
      <c r="F10" s="106"/>
      <c r="G10" s="26">
        <f>(G5-G6)*(1+'Fane 14. Nøgletal'!C9)</f>
        <v>4479862.55498097</v>
      </c>
      <c r="H10" s="14" t="s">
        <v>3</v>
      </c>
      <c r="I10" s="1"/>
    </row>
    <row r="11" spans="1:9" x14ac:dyDescent="0.25">
      <c r="A11" s="1"/>
      <c r="B11" s="107" t="s">
        <v>109</v>
      </c>
      <c r="C11" s="108"/>
      <c r="D11" s="108"/>
      <c r="E11" s="108"/>
      <c r="F11" s="109"/>
      <c r="G11" s="26">
        <v>0</v>
      </c>
      <c r="H11" s="14" t="s">
        <v>3</v>
      </c>
      <c r="I11" s="1"/>
    </row>
    <row r="12" spans="1:9" x14ac:dyDescent="0.25">
      <c r="A12" s="1"/>
      <c r="B12" s="104" t="s">
        <v>110</v>
      </c>
      <c r="C12" s="105"/>
      <c r="D12" s="105"/>
      <c r="E12" s="105"/>
      <c r="F12" s="106"/>
      <c r="G12" s="26">
        <f>G10*'Fane 14. Nøgletal'!C17+G11*'Fane 14. Nøgletal'!C18</f>
        <v>40766.749250326829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1" t="s">
        <v>111</v>
      </c>
      <c r="C15" s="102"/>
      <c r="D15" s="102"/>
      <c r="E15" s="102"/>
      <c r="F15" s="102"/>
      <c r="G15" s="102"/>
      <c r="H15" s="103"/>
      <c r="I15" s="1"/>
    </row>
    <row r="16" spans="1:9" x14ac:dyDescent="0.25">
      <c r="A16" s="1"/>
      <c r="B16" s="104" t="s">
        <v>112</v>
      </c>
      <c r="C16" s="105"/>
      <c r="D16" s="105"/>
      <c r="E16" s="105"/>
      <c r="F16" s="106"/>
      <c r="G16" s="26">
        <f>(G10+G11-G12)*(1+'Fane 14. Nøgletal'!C11)</f>
        <v>4514116.5248474898</v>
      </c>
      <c r="H16" s="14" t="s">
        <v>3</v>
      </c>
      <c r="I16" s="1"/>
    </row>
    <row r="17" spans="1:9" x14ac:dyDescent="0.25">
      <c r="A17" s="1"/>
      <c r="B17" s="104" t="s">
        <v>223</v>
      </c>
      <c r="C17" s="105"/>
      <c r="D17" s="105"/>
      <c r="E17" s="105"/>
      <c r="F17" s="106"/>
      <c r="G17" s="26">
        <v>-75369.130331930603</v>
      </c>
      <c r="H17" s="14" t="s">
        <v>3</v>
      </c>
      <c r="I17" s="1"/>
    </row>
    <row r="18" spans="1:9" x14ac:dyDescent="0.25">
      <c r="A18" s="1"/>
      <c r="B18" s="107" t="s">
        <v>113</v>
      </c>
      <c r="C18" s="108"/>
      <c r="D18" s="108"/>
      <c r="E18" s="108"/>
      <c r="F18" s="109"/>
      <c r="G18" s="26">
        <v>0</v>
      </c>
      <c r="H18" s="14" t="s">
        <v>3</v>
      </c>
      <c r="I18" s="1"/>
    </row>
    <row r="19" spans="1:9" x14ac:dyDescent="0.25">
      <c r="A19" s="1"/>
      <c r="B19" s="104" t="s">
        <v>114</v>
      </c>
      <c r="C19" s="105"/>
      <c r="D19" s="105"/>
      <c r="E19" s="105"/>
      <c r="F19" s="106"/>
      <c r="G19" s="26">
        <f>SUM(G16:G18)*'Fane 14. Nøgletal'!C19</f>
        <v>38617.102332285358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1" t="s">
        <v>115</v>
      </c>
      <c r="C22" s="102"/>
      <c r="D22" s="102"/>
      <c r="E22" s="102"/>
      <c r="F22" s="102"/>
      <c r="G22" s="102"/>
      <c r="H22" s="103"/>
      <c r="I22" s="1"/>
    </row>
    <row r="23" spans="1:9" x14ac:dyDescent="0.25">
      <c r="A23" s="1"/>
      <c r="B23" s="104" t="s">
        <v>116</v>
      </c>
      <c r="C23" s="105"/>
      <c r="D23" s="105"/>
      <c r="E23" s="105"/>
      <c r="F23" s="106"/>
      <c r="G23" s="26">
        <f>(SUM(G16:G18)-G19)*(1+'Fane 14. Nøgletal'!C11)</f>
        <v>4474492.4941211706</v>
      </c>
      <c r="H23" s="14" t="s">
        <v>3</v>
      </c>
      <c r="I23" s="1"/>
    </row>
    <row r="24" spans="1:9" x14ac:dyDescent="0.25">
      <c r="A24" s="1"/>
      <c r="B24" s="107" t="s">
        <v>117</v>
      </c>
      <c r="C24" s="108"/>
      <c r="D24" s="108"/>
      <c r="E24" s="108"/>
      <c r="F24" s="109"/>
      <c r="G24" s="26">
        <f>('Fane 2.1. Økonomisk ramme 2020'!C11+'Fane 2.1. Økonomisk ramme 2020'!C13+'Fane 2.1. Økonomisk ramme 2020'!C15)*(1+'Fane 14. Nøgletal'!C12)</f>
        <v>104940.61298325002</v>
      </c>
      <c r="H24" s="14" t="s">
        <v>3</v>
      </c>
      <c r="I24" s="1"/>
    </row>
    <row r="25" spans="1:9" x14ac:dyDescent="0.25">
      <c r="A25" s="1"/>
      <c r="B25" s="104" t="s">
        <v>118</v>
      </c>
      <c r="C25" s="105"/>
      <c r="D25" s="105"/>
      <c r="E25" s="105"/>
      <c r="F25" s="106"/>
      <c r="G25" s="26">
        <f>G23*'Fane 14. Nøgletal'!C19+G24*'Fane 14. Nøgletal'!C20</f>
        <v>41908.398107578483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1" t="s">
        <v>190</v>
      </c>
      <c r="C28" s="102"/>
      <c r="D28" s="102"/>
      <c r="E28" s="102"/>
      <c r="F28" s="102"/>
      <c r="G28" s="102"/>
      <c r="H28" s="103"/>
      <c r="I28" s="1"/>
    </row>
    <row r="29" spans="1:9" x14ac:dyDescent="0.25">
      <c r="A29" s="1"/>
      <c r="B29" s="104" t="s">
        <v>119</v>
      </c>
      <c r="C29" s="105"/>
      <c r="D29" s="105"/>
      <c r="E29" s="105"/>
      <c r="F29" s="106"/>
      <c r="G29" s="26">
        <f>(G23+G24-G25)*(1+'Fane 14. Nøgletal'!C12)</f>
        <v>4626913.9457640806</v>
      </c>
      <c r="H29" s="14" t="s">
        <v>3</v>
      </c>
      <c r="I29" s="1"/>
    </row>
    <row r="30" spans="1:9" x14ac:dyDescent="0.25">
      <c r="A30" s="1"/>
      <c r="B30" s="104" t="s">
        <v>151</v>
      </c>
      <c r="C30" s="105"/>
      <c r="D30" s="105"/>
      <c r="E30" s="105"/>
      <c r="F30" s="106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4" t="s">
        <v>219</v>
      </c>
      <c r="C31" s="105"/>
      <c r="D31" s="105"/>
      <c r="E31" s="105"/>
      <c r="F31" s="106"/>
      <c r="G31" s="26">
        <f>(G29+G30)*'Fane 14. Nøgletal'!C20</f>
        <v>131404.3560596999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1" t="s">
        <v>128</v>
      </c>
      <c r="C34" s="102"/>
      <c r="D34" s="102"/>
      <c r="E34" s="102"/>
      <c r="F34" s="102"/>
      <c r="G34" s="102"/>
      <c r="H34" s="103"/>
      <c r="I34" s="1"/>
    </row>
    <row r="35" spans="1:9" x14ac:dyDescent="0.25">
      <c r="A35" s="1"/>
      <c r="B35" s="104" t="s">
        <v>123</v>
      </c>
      <c r="C35" s="105"/>
      <c r="D35" s="105"/>
      <c r="E35" s="105"/>
      <c r="F35" s="106"/>
      <c r="G35" s="26">
        <f>(G29-G31)*(1+'Fane 14. Nøgletal'!C12)</f>
        <v>4584071.1286215568</v>
      </c>
      <c r="H35" s="14" t="s">
        <v>3</v>
      </c>
      <c r="I35" s="1"/>
    </row>
    <row r="36" spans="1:9" x14ac:dyDescent="0.25">
      <c r="A36" s="1"/>
      <c r="B36" s="104" t="s">
        <v>152</v>
      </c>
      <c r="C36" s="105"/>
      <c r="D36" s="105"/>
      <c r="E36" s="105"/>
      <c r="F36" s="106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4" t="s">
        <v>120</v>
      </c>
      <c r="C37" s="105"/>
      <c r="D37" s="105"/>
      <c r="E37" s="105"/>
      <c r="F37" s="106"/>
      <c r="G37" s="26">
        <f>(G35+G36)*'Fane 14. Nøgletal'!C20</f>
        <v>130187.62005285222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1" t="s">
        <v>129</v>
      </c>
      <c r="C40" s="102"/>
      <c r="D40" s="102"/>
      <c r="E40" s="102"/>
      <c r="F40" s="102"/>
      <c r="G40" s="102"/>
      <c r="H40" s="103"/>
      <c r="I40" s="1"/>
    </row>
    <row r="41" spans="1:9" x14ac:dyDescent="0.25">
      <c r="A41" s="1"/>
      <c r="B41" s="104" t="s">
        <v>122</v>
      </c>
      <c r="C41" s="105"/>
      <c r="D41" s="105"/>
      <c r="E41" s="105"/>
      <c r="F41" s="106"/>
      <c r="G41" s="26">
        <f>(G35-G37)*(1+'Fane 14. Nøgletal'!C12)</f>
        <v>4541625.0136875082</v>
      </c>
      <c r="H41" s="14" t="s">
        <v>3</v>
      </c>
      <c r="I41" s="1"/>
    </row>
    <row r="42" spans="1:9" x14ac:dyDescent="0.25">
      <c r="A42" s="1"/>
      <c r="B42" s="104" t="s">
        <v>153</v>
      </c>
      <c r="C42" s="105"/>
      <c r="D42" s="105"/>
      <c r="E42" s="105"/>
      <c r="F42" s="106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4" t="s">
        <v>121</v>
      </c>
      <c r="C43" s="105"/>
      <c r="D43" s="105"/>
      <c r="E43" s="105"/>
      <c r="F43" s="106"/>
      <c r="G43" s="26">
        <f>(G41+G42)*'Fane 14. Nøgletal'!C20</f>
        <v>128982.15038872523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CPTahPwLQszbGi/wFSOQCUOrfU0grPjD6/7cQiZjDUk9eAOk2Hb92YqL+sCRQfnacOATBabpNp5OvyosPLMRw==" saltValue="/G9Mzost+oZvjexXyV7A8Q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144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10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4" t="s">
        <v>178</v>
      </c>
      <c r="C9" s="105"/>
      <c r="D9" s="105"/>
      <c r="E9" s="105"/>
      <c r="F9" s="106"/>
      <c r="G9" s="25">
        <v>5.6624098819183346E-3</v>
      </c>
      <c r="H9" s="14"/>
      <c r="I9" s="1"/>
    </row>
    <row r="10" spans="1:9" x14ac:dyDescent="0.25">
      <c r="A10" s="1"/>
      <c r="B10" s="104" t="s">
        <v>179</v>
      </c>
      <c r="C10" s="105"/>
      <c r="D10" s="105"/>
      <c r="E10" s="105"/>
      <c r="F10" s="106"/>
      <c r="G10" s="25">
        <v>0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11"/>
      <c r="C13" s="111"/>
      <c r="D13" s="111"/>
      <c r="E13" s="111"/>
      <c r="F13" s="111"/>
      <c r="G13" s="111"/>
      <c r="H13" s="111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rigGb4ZNDk/nCyToMdRrIsUPmTRT7wWeLBSzteJbwKR6+tW02LcMb9FdFdAi5ufiUCEw6M7lRr8K21G7GNarw==" saltValue="63nbSPqoP+EUdknRTETrZ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2020-09-29T14:14:03Z</dcterms:modified>
</cp:coreProperties>
</file>