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Odsherred Vand AS (V145)\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0" i="10" l="1"/>
  <c r="C10" i="10"/>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4" i="7" l="1"/>
  <c r="C12" i="10" l="1"/>
  <c r="C13" i="10" s="1"/>
  <c r="E13" i="5"/>
  <c r="E13" i="4"/>
  <c r="E13" i="3"/>
  <c r="E22" i="6"/>
  <c r="E15" i="6" l="1"/>
  <c r="E16" i="6" s="1"/>
  <c r="E9" i="2" l="1"/>
  <c r="E28" i="6"/>
  <c r="E12" i="13"/>
  <c r="E13" i="13" s="1"/>
  <c r="C12" i="13"/>
  <c r="C13" i="13" s="1"/>
  <c r="E11" i="2" l="1"/>
  <c r="E19" i="2" l="1"/>
  <c r="E20" i="2"/>
  <c r="E21" i="2" l="1"/>
  <c r="E22" i="2" s="1"/>
  <c r="E17" i="2"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<sst xmlns="http://schemas.openxmlformats.org/spreadsheetml/2006/main" count="322" uniqueCount="154">
  <si>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</si>
  <si>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</si>
  <si>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</si>
  <si>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</si>
  <si>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</si>
  <si>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</si>
  <si>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</si>
  <si>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</si>
  <si>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</si>
  <si>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</si>
  <si>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</si>
  <si>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</si>
  <si>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</si>
  <si>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</si>
  <si>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</si>
  <si>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</si>
  <si>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</si>
  <si>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</si>
  <si>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</si>
  <si>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</si>
  <si>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</si>
  <si>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</si>
  <si>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</si>
  <si>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</si>
  <si>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</si>
  <si>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</si>
  <si>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</si>
  <si>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</si>
  <si>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</si>
  <si>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</si>
  <si>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</si>
  <si>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</si>
  <si>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</si>
  <si>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</si>
  <si>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</si>
  <si>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</si>
  <si>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</si>
  <si>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</si>
  <si>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</si>
  <si>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</si>
  <si>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</si>
  <si>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</si>
  <si>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</si>
  <si>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</si>
  <si>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</si>
  <si>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</si>
  <si>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</si>
  <si>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</si>
  <si>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</si>
  <si>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</si>
  <si>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</si>
  <si>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</si>
  <si>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</si>
  <si>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</si>
  <si>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</si>
  <si>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</si>
  <si>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</si>
  <si>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</si>
  <si>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</si>
  <si>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</si>
  <si>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</si>
  <si>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</si>
  <si>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</si>
  <si>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</si>
  <si>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</si>
  <si>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</si>
  <si>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</si>
  <si>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</si>
  <si>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</si>
  <si>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</si>
  <si>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</si>
  <si>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</si>
  <si>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</si>
  <si>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</si>
  <si>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</si>
  <si>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</si>
  <si>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</si>
  <si>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</si>
  <si>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</si>
  <si>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</si>
  <si>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</si>
  <si>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</si>
  <si>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</si>
  <si>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</si>
  <si>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</si>
  <si>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</si>
  <si>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</si>
  <si>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</si>
  <si>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</si>
  <si>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</si>
  <si>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</si>
  <si>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</si>
  <si>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</si>
  <si>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</si>
  <si>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</si>
  <si>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</si>
  <si>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</si>
  <si>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</si>
  <si>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</si>
  <si>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</si>
  <si>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</si>
  <si>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</si>
  <si>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</si>
  <si>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</si>
  <si>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</si>
  <si>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</si>
  <si>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</si>
  <si>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</si>
  <si>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</si>
  <si>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</si>
  <si>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</si>
  <si>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</si>
  <si>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</si>
  <si>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</si>
  <si>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</si>
  <si>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</si>
  <si>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</si>
  <si>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</si>
  <si>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</si>
  <si>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</si>
  <si>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</si>
  <si>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</si>
  <si>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</si>
  <si>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</si>
  <si>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</si>
  <si>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</si>
  <si>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</si>
  <si>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</si>
  <si>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</si>
  <si>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</si>
  <si>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</si>
  <si>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</si>
  <si>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</si>
  <si>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</si>
  <si>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Anlægsprojekter igangsat senest 1. marts 2016</t>
  </si>
  <si>
    <t>Nye stik</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</si>
  <si>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</si>
  <si>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</si>
  <si>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</si>
  <si>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</si>
  <si>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</si>
  <si>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</si>
  <si>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</si>
  <si>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</si>
  <si>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</si>
  <si>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</si>
  <si>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</si>
  <si>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Økonomisk ramme for 2022</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</si>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</sst>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8" t="s">
        <v>4</v>
      </c>
      <c r="E6" s="78"/>
      <c r="F6" s="78"/>
      <c r="G6" s="78"/>
      <c r="H6" s="3"/>
      <c r="I6" s="1"/>
    </row>
    <row r="7" spans="1:9" ht="15" customHeight="1" x14ac:dyDescent="0.35">
      <c r="A7" s="1"/>
      <c r="B7" s="1"/>
      <c r="C7" s="3"/>
      <c r="D7" s="78"/>
      <c r="E7" s="78"/>
      <c r="F7" s="78"/>
      <c r="G7" s="78"/>
      <c r="H7" s="3"/>
      <c r="I7" s="1"/>
    </row>
    <row r="8" spans="1:9" ht="15.5" x14ac:dyDescent="0.35">
      <c r="A8" s="1"/>
      <c r="B8" s="1"/>
      <c r="C8" s="4"/>
      <c r="D8" s="83" t="s">
        <v>105</v>
      </c>
      <c r="E8" s="83"/>
      <c r="F8" s="83"/>
      <c r="G8" s="83"/>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2" t="s">
        <v>5</v>
      </c>
      <c r="E11" s="82"/>
      <c r="F11" s="82"/>
      <c r="G11" s="82"/>
      <c r="H11" s="5"/>
      <c r="I11" s="1"/>
    </row>
    <row r="12" spans="1:9" x14ac:dyDescent="0.35">
      <c r="A12" s="1"/>
      <c r="B12" s="1"/>
      <c r="C12" s="1"/>
      <c r="D12" s="1"/>
      <c r="E12" s="1"/>
      <c r="F12" s="1"/>
      <c r="G12" s="1"/>
      <c r="H12" s="1"/>
      <c r="I12" s="1"/>
    </row>
    <row r="13" spans="1:9" x14ac:dyDescent="0.35">
      <c r="A13" s="1"/>
      <c r="B13" s="1"/>
      <c r="C13" s="6" t="s">
        <v>6</v>
      </c>
      <c r="D13" s="75" t="s">
        <v>78</v>
      </c>
      <c r="E13" s="76"/>
      <c r="F13" s="76"/>
      <c r="G13" s="77"/>
      <c r="H13" s="1"/>
      <c r="I13" s="1"/>
    </row>
    <row r="14" spans="1:9" x14ac:dyDescent="0.35">
      <c r="A14" s="1"/>
      <c r="B14" s="1"/>
      <c r="C14" s="6" t="s">
        <v>14</v>
      </c>
      <c r="D14" s="75" t="s">
        <v>110</v>
      </c>
      <c r="E14" s="76"/>
      <c r="F14" s="76"/>
      <c r="G14" s="77"/>
      <c r="H14" s="1"/>
      <c r="I14" s="1"/>
    </row>
    <row r="15" spans="1:9" x14ac:dyDescent="0.35">
      <c r="A15" s="1"/>
      <c r="B15" s="1"/>
      <c r="C15" s="6" t="s">
        <v>28</v>
      </c>
      <c r="D15" s="75" t="s">
        <v>64</v>
      </c>
      <c r="E15" s="76"/>
      <c r="F15" s="76"/>
      <c r="G15" s="77"/>
      <c r="H15" s="1"/>
      <c r="I15" s="1"/>
    </row>
    <row r="16" spans="1:9" x14ac:dyDescent="0.35">
      <c r="A16" s="1"/>
      <c r="B16" s="1"/>
      <c r="C16" s="6" t="s">
        <v>29</v>
      </c>
      <c r="D16" s="75" t="s">
        <v>79</v>
      </c>
      <c r="E16" s="76"/>
      <c r="F16" s="76"/>
      <c r="G16" s="77"/>
      <c r="H16" s="1"/>
      <c r="I16" s="1"/>
    </row>
    <row r="17" spans="1:9" x14ac:dyDescent="0.35">
      <c r="A17" s="1"/>
      <c r="B17" s="1"/>
      <c r="C17" s="6" t="s">
        <v>49</v>
      </c>
      <c r="D17" s="75" t="s">
        <v>80</v>
      </c>
      <c r="E17" s="76"/>
      <c r="F17" s="76"/>
      <c r="G17" s="77"/>
      <c r="H17" s="1"/>
      <c r="I17" s="1"/>
    </row>
    <row r="18" spans="1:9" x14ac:dyDescent="0.35">
      <c r="A18" s="1"/>
      <c r="B18" s="1"/>
      <c r="C18" s="6" t="s">
        <v>7</v>
      </c>
      <c r="D18" s="87" t="s">
        <v>11</v>
      </c>
      <c r="E18" s="88"/>
      <c r="F18" s="88"/>
      <c r="G18" s="89"/>
      <c r="H18" s="1"/>
      <c r="I18" s="1"/>
    </row>
    <row r="19" spans="1:9" x14ac:dyDescent="0.35">
      <c r="A19" s="1"/>
      <c r="B19" s="1"/>
      <c r="C19" s="6" t="s">
        <v>8</v>
      </c>
      <c r="D19" s="79" t="s">
        <v>81</v>
      </c>
      <c r="E19" s="80"/>
      <c r="F19" s="80"/>
      <c r="G19" s="81"/>
      <c r="H19" s="1"/>
      <c r="I19" s="1"/>
    </row>
    <row r="20" spans="1:9" x14ac:dyDescent="0.35">
      <c r="A20" s="1"/>
      <c r="B20" s="1"/>
      <c r="C20" s="6" t="s">
        <v>46</v>
      </c>
      <c r="D20" s="79" t="s">
        <v>113</v>
      </c>
      <c r="E20" s="80"/>
      <c r="F20" s="80"/>
      <c r="G20" s="81"/>
      <c r="H20" s="1"/>
      <c r="I20" s="1"/>
    </row>
    <row r="21" spans="1:9" x14ac:dyDescent="0.35">
      <c r="A21" s="1"/>
      <c r="B21" s="1"/>
      <c r="C21" s="6" t="s">
        <v>153</v>
      </c>
      <c r="D21" s="79" t="s">
        <v>108</v>
      </c>
      <c r="E21" s="80"/>
      <c r="F21" s="80"/>
      <c r="G21" s="81"/>
      <c r="H21" s="1"/>
      <c r="I21" s="1"/>
    </row>
    <row r="22" spans="1:9" x14ac:dyDescent="0.35">
      <c r="A22" s="1"/>
      <c r="B22" s="1"/>
      <c r="C22" s="6" t="s">
        <v>120</v>
      </c>
      <c r="D22" s="79" t="s">
        <v>35</v>
      </c>
      <c r="E22" s="80"/>
      <c r="F22" s="80"/>
      <c r="G22" s="81"/>
      <c r="H22" s="1"/>
      <c r="I22" s="1"/>
    </row>
    <row r="23" spans="1:9" x14ac:dyDescent="0.35">
      <c r="A23" s="1"/>
      <c r="B23" s="1"/>
      <c r="C23" s="6" t="s">
        <v>121</v>
      </c>
      <c r="D23" s="79" t="s">
        <v>36</v>
      </c>
      <c r="E23" s="80"/>
      <c r="F23" s="80"/>
      <c r="G23" s="81"/>
      <c r="H23" s="1"/>
      <c r="I23" s="1"/>
    </row>
    <row r="24" spans="1:9" x14ac:dyDescent="0.35">
      <c r="A24" s="1"/>
      <c r="B24" s="1"/>
      <c r="C24" s="6" t="s">
        <v>9</v>
      </c>
      <c r="D24" s="79" t="s">
        <v>53</v>
      </c>
      <c r="E24" s="80"/>
      <c r="F24" s="80"/>
      <c r="G24" s="81"/>
      <c r="H24" s="1"/>
      <c r="I24" s="1"/>
    </row>
    <row r="25" spans="1:9" x14ac:dyDescent="0.35">
      <c r="A25" s="1"/>
      <c r="B25" s="1"/>
      <c r="C25" s="6" t="s">
        <v>41</v>
      </c>
      <c r="D25" s="79" t="s">
        <v>30</v>
      </c>
      <c r="E25" s="80"/>
      <c r="F25" s="80"/>
      <c r="G25" s="81"/>
      <c r="H25" s="1"/>
      <c r="I25" s="1"/>
    </row>
    <row r="26" spans="1:9" x14ac:dyDescent="0.35">
      <c r="A26" s="1"/>
      <c r="B26" s="1"/>
      <c r="C26" s="6" t="s">
        <v>122</v>
      </c>
      <c r="D26" s="84" t="s">
        <v>47</v>
      </c>
      <c r="E26" s="85"/>
      <c r="F26" s="85"/>
      <c r="G26" s="86"/>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n8YN0T7orlFx8wh7xzsffEzeNasS5iXk2QU4n7Yz4cm1MCvBGUHnibcwsuWglIZZ2DWQ5kSWX53i4Ag+0+mRPQ==" saltValue="2afsNuDN1xSlHHrnOZyFU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56" t="s">
        <v>146</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KfPd7IxKatEXGk7x1lInMPBJ8V6w//o9Aeh0YegXyz+VWua9DX7HgsqX6GUaPj/hw0TL4ASNCU/Mr2bxCe8LaA==" saltValue="my2P2cB8Cgje1ZeDa+1pI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62" t="s">
        <v>15</v>
      </c>
      <c r="C9" s="62" t="s">
        <v>10</v>
      </c>
      <c r="D9" s="63"/>
      <c r="E9" s="62" t="s">
        <v>24</v>
      </c>
      <c r="F9" s="72"/>
      <c r="G9" s="1"/>
    </row>
    <row r="10" spans="1:7" x14ac:dyDescent="0.35">
      <c r="A10" s="1"/>
      <c r="B10" s="20" t="s">
        <v>134</v>
      </c>
      <c r="C10" s="19">
        <f>'Fane 7. Anlægsprojekter (§ 19)'!H11</f>
        <v>0</v>
      </c>
      <c r="D10" s="12" t="s">
        <v>3</v>
      </c>
      <c r="E10" s="8">
        <f>'Fane 7. Anlægsprojekter (§ 19)'!F11+'Fane 7. Anlægsprojekter (§ 19)'!J11</f>
        <v>0</v>
      </c>
      <c r="F10" s="12" t="s">
        <v>3</v>
      </c>
      <c r="G10" s="1"/>
    </row>
    <row r="11" spans="1:7" x14ac:dyDescent="0.35">
      <c r="A11" s="1"/>
      <c r="B11" s="20" t="s">
        <v>135</v>
      </c>
      <c r="C11" s="19">
        <v>239403</v>
      </c>
      <c r="D11" s="12" t="s">
        <v>3</v>
      </c>
      <c r="E11" s="8">
        <v>23126</v>
      </c>
      <c r="F11" s="12" t="s">
        <v>3</v>
      </c>
      <c r="G11" s="1"/>
    </row>
    <row r="12" spans="1:7" x14ac:dyDescent="0.35">
      <c r="A12" s="1"/>
      <c r="B12" s="73" t="s">
        <v>67</v>
      </c>
      <c r="C12" s="10">
        <f>SUM(C10:C11)</f>
        <v>239403</v>
      </c>
      <c r="D12" s="11" t="s">
        <v>3</v>
      </c>
      <c r="E12" s="10">
        <f>SUM(E10:E11)</f>
        <v>23126</v>
      </c>
      <c r="F12" s="11" t="s">
        <v>3</v>
      </c>
      <c r="G12" s="1"/>
    </row>
    <row r="13" spans="1:7" x14ac:dyDescent="0.35">
      <c r="A13" s="1"/>
      <c r="B13" s="73" t="s">
        <v>98</v>
      </c>
      <c r="C13" s="10">
        <f>C12*(1+'Fane 11. Nøgletal'!C15)</f>
        <v>247925.74680000002</v>
      </c>
      <c r="D13" s="11" t="s">
        <v>3</v>
      </c>
      <c r="E13" s="10">
        <f>E12*(1+'Fane 11. Nøgletal'!C15)</f>
        <v>23949.285600000003</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7x1Yg24Mg3RyUZ08rm3YxlqVOitL9DnHvokWvNSbbaLTtJlFScHQxTmBFpPYXG0BcyxxrF0NCZSCR8I8rlSidQ==" saltValue="BMroHLqkbEhuOt4I3tUvx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62" t="s">
        <v>15</v>
      </c>
      <c r="C8" s="62" t="s">
        <v>10</v>
      </c>
      <c r="D8" s="63"/>
      <c r="E8" s="62" t="s">
        <v>24</v>
      </c>
      <c r="F8" s="72"/>
      <c r="G8" s="1"/>
    </row>
    <row r="9" spans="1:7" x14ac:dyDescent="0.35">
      <c r="A9" s="1"/>
      <c r="B9" s="20" t="s">
        <v>148</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6pR1KGpvW3dQ08Ua/4RMtlH/gGobiKvx434F9GZmOTxtaDpFyCL6mIJscEMCVQIXIf6Q6yn0r9AqXM2V93Wyyg==" saltValue="3Ej+/ION1LHCJC4pe9RUt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117</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136</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RD9Nso4LRsC3Ylk11TpTTaLulUXqYdx/kTrSwKlqkSmBjxvzq3/kRlQbMCt6st9yr1jYR0IRFqhUE4I4E6R9aA==" saltValue="15G37pjRh9ys/e+NDv9n5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118</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137</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widiOgSz/+6++lFEYjwWnh8VCmexqeINzi+t2asXoOWIjWEiNSG4+2wejkITXKfOcDkPqFiSF8alT1jdrJur0w==" saltValue="2rDkHyWqifvZNa82JXmLJ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6" t="s">
        <v>119</v>
      </c>
      <c r="C3" s="106"/>
      <c r="D3" s="1"/>
    </row>
    <row r="4" spans="1:4" ht="25.5" customHeight="1" x14ac:dyDescent="0.35">
      <c r="A4" s="1"/>
      <c r="B4" s="106"/>
      <c r="C4" s="106"/>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SQd9X1xHSkW4SbHH8sEjLDs1d4z0uuFQIp3HGq8JmXgoHg3utrlw+FOAyZHKEdCVK3JEqLYN6x3WVZtqmZwnGA==" saltValue="Wkm1fhSN6PBLFIUuL1zLm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12</v>
      </c>
      <c r="C8" s="57"/>
      <c r="D8" s="57"/>
      <c r="E8" s="57"/>
      <c r="F8" s="57"/>
      <c r="G8" s="1"/>
    </row>
    <row r="9" spans="1:7" x14ac:dyDescent="0.35">
      <c r="A9" s="1"/>
      <c r="B9" s="54" t="s">
        <v>55</v>
      </c>
      <c r="C9" s="54"/>
      <c r="D9" s="54"/>
      <c r="E9" s="7">
        <f>'Fane 3. Omkostninger i ØR2022'!E16</f>
        <v>8495893.8144664243</v>
      </c>
      <c r="F9" s="54" t="s">
        <v>3</v>
      </c>
      <c r="G9" s="1"/>
    </row>
    <row r="10" spans="1:7" ht="17.149999999999999" customHeight="1" x14ac:dyDescent="0.35">
      <c r="A10" s="1"/>
      <c r="B10" s="24" t="s">
        <v>50</v>
      </c>
      <c r="C10" s="54"/>
      <c r="D10" s="54"/>
      <c r="E10" s="7">
        <f>'Fane 8.1. Varige tillæg'!C13+'Fane 8.1. Varige tillæg'!E13</f>
        <v>271875.03240000003</v>
      </c>
      <c r="F10" s="54" t="s">
        <v>3</v>
      </c>
      <c r="G10" s="1"/>
    </row>
    <row r="11" spans="1:7" ht="17.149999999999999" customHeight="1" x14ac:dyDescent="0.35">
      <c r="A11" s="1"/>
      <c r="B11" s="24" t="s">
        <v>52</v>
      </c>
      <c r="C11" s="54"/>
      <c r="D11" s="54"/>
      <c r="E11" s="8">
        <f>-('Fane 10. Bortfald'!C13+'Fane 10. Bortfald'!E13)</f>
        <v>0</v>
      </c>
      <c r="F11" s="54" t="s">
        <v>3</v>
      </c>
      <c r="G11" s="1"/>
    </row>
    <row r="12" spans="1:7" ht="17.149999999999999" customHeight="1" x14ac:dyDescent="0.35">
      <c r="A12" s="1"/>
      <c r="B12" s="24" t="s">
        <v>54</v>
      </c>
      <c r="C12" s="54"/>
      <c r="D12" s="54"/>
      <c r="E12" s="8">
        <f>'Fane 9. Tilknyttet virksomhed'!C12+'Fane 9. Tilknyttet virksomhed'!E12</f>
        <v>0</v>
      </c>
      <c r="F12" s="54" t="s">
        <v>3</v>
      </c>
      <c r="G12" s="1"/>
    </row>
    <row r="13" spans="1:7" ht="17.149999999999999" customHeight="1" x14ac:dyDescent="0.35">
      <c r="A13" s="1"/>
      <c r="B13" s="24" t="s">
        <v>17</v>
      </c>
      <c r="C13" s="54"/>
      <c r="D13" s="54"/>
      <c r="E13" s="8">
        <f>SUM(E9:E12)*'Fane 11. Nøgletal'!C15</f>
        <v>312132.57094844471</v>
      </c>
      <c r="F13" s="54" t="s">
        <v>3</v>
      </c>
      <c r="G13" s="1"/>
    </row>
    <row r="14" spans="1:7" ht="17.149999999999999" customHeight="1" x14ac:dyDescent="0.35">
      <c r="A14" s="1"/>
      <c r="B14" s="24" t="s">
        <v>44</v>
      </c>
      <c r="C14" s="54"/>
      <c r="D14" s="54"/>
      <c r="E14" s="8">
        <f>-SUM(E9,E10:E13)*'Fane 11. Nøgletal'!C20</f>
        <v>-154358.32410285278</v>
      </c>
      <c r="F14" s="54" t="s">
        <v>3</v>
      </c>
      <c r="G14" s="1"/>
    </row>
    <row r="15" spans="1:7" ht="15" customHeight="1" x14ac:dyDescent="0.35">
      <c r="A15" s="1"/>
      <c r="B15" s="67" t="s">
        <v>19</v>
      </c>
      <c r="C15" s="28"/>
      <c r="D15" s="28"/>
      <c r="E15" s="9">
        <f>SUM(E9,E10:E14)</f>
        <v>8925543.0937120169</v>
      </c>
      <c r="F15" s="58" t="s">
        <v>3</v>
      </c>
      <c r="G15" s="1"/>
    </row>
    <row r="16" spans="1:7" ht="15" customHeight="1" x14ac:dyDescent="0.35">
      <c r="A16" s="1"/>
      <c r="B16" s="57" t="s">
        <v>11</v>
      </c>
      <c r="C16" s="57"/>
      <c r="D16" s="57"/>
      <c r="E16" s="57"/>
      <c r="F16" s="57"/>
      <c r="G16" s="1"/>
    </row>
    <row r="17" spans="1:7" ht="15" customHeight="1" x14ac:dyDescent="0.35">
      <c r="A17" s="1"/>
      <c r="B17" s="58" t="s">
        <v>11</v>
      </c>
      <c r="C17" s="58"/>
      <c r="D17" s="58"/>
      <c r="E17" s="9">
        <f>'Fane 4. Ikke-påvirkelige omk.'!C14</f>
        <v>3194888.8451788803</v>
      </c>
      <c r="F17" s="58" t="s">
        <v>3</v>
      </c>
      <c r="G17" s="1"/>
    </row>
    <row r="18" spans="1:7" ht="15" customHeight="1" x14ac:dyDescent="0.35">
      <c r="A18" s="1"/>
      <c r="B18" s="57" t="s">
        <v>36</v>
      </c>
      <c r="C18" s="57"/>
      <c r="D18" s="57"/>
      <c r="E18" s="57"/>
      <c r="F18" s="57"/>
      <c r="G18" s="1"/>
    </row>
    <row r="19" spans="1:7" ht="15" customHeight="1" x14ac:dyDescent="0.35">
      <c r="A19" s="1"/>
      <c r="B19" s="24" t="s">
        <v>33</v>
      </c>
      <c r="C19" s="54"/>
      <c r="D19" s="54"/>
      <c r="E19" s="8">
        <f>'Fane 8.2. Engangstillæg'!C11</f>
        <v>0</v>
      </c>
      <c r="F19" s="54" t="s">
        <v>3</v>
      </c>
      <c r="G19" s="1"/>
    </row>
    <row r="20" spans="1:7" x14ac:dyDescent="0.35">
      <c r="A20" s="1"/>
      <c r="B20" s="24" t="s">
        <v>34</v>
      </c>
      <c r="C20" s="54"/>
      <c r="D20" s="54"/>
      <c r="E20" s="8">
        <f>'Fane 8.2. Engangstillæg'!E11</f>
        <v>0</v>
      </c>
      <c r="F20" s="54" t="s">
        <v>3</v>
      </c>
      <c r="G20" s="1"/>
    </row>
    <row r="21" spans="1:7" x14ac:dyDescent="0.35">
      <c r="A21" s="1"/>
      <c r="B21" s="24" t="s">
        <v>106</v>
      </c>
      <c r="C21" s="54"/>
      <c r="D21" s="54"/>
      <c r="E21" s="8">
        <f>-SUM(E19:E20)*'Fane 11. Nøgletal'!C20</f>
        <v>0</v>
      </c>
      <c r="F21" s="54" t="s">
        <v>3</v>
      </c>
      <c r="G21" s="1"/>
    </row>
    <row r="22" spans="1:7" ht="15" customHeight="1" x14ac:dyDescent="0.35">
      <c r="A22" s="1"/>
      <c r="B22" s="67" t="s">
        <v>37</v>
      </c>
      <c r="C22" s="28"/>
      <c r="D22" s="28"/>
      <c r="E22" s="9">
        <f>SUM(E19:E21)</f>
        <v>0</v>
      </c>
      <c r="F22" s="58" t="s">
        <v>3</v>
      </c>
      <c r="G22" s="1"/>
    </row>
    <row r="23" spans="1:7" x14ac:dyDescent="0.35">
      <c r="A23" s="1"/>
      <c r="B23" s="57" t="s">
        <v>62</v>
      </c>
      <c r="C23" s="57"/>
      <c r="D23" s="57"/>
      <c r="E23" s="57"/>
      <c r="F23" s="57"/>
      <c r="G23" s="1"/>
    </row>
    <row r="24" spans="1:7" x14ac:dyDescent="0.35">
      <c r="A24" s="1"/>
      <c r="B24" s="67" t="s">
        <v>63</v>
      </c>
      <c r="C24" s="31"/>
      <c r="D24" s="31"/>
      <c r="E24" s="9">
        <f>'Fane 5. Kontrol af ØR2021'!E30</f>
        <v>-630635.40038719052</v>
      </c>
      <c r="F24" s="58" t="s">
        <v>3</v>
      </c>
      <c r="G24" s="1"/>
    </row>
    <row r="25" spans="1:7" x14ac:dyDescent="0.35">
      <c r="A25" s="1"/>
      <c r="B25" s="57" t="s">
        <v>75</v>
      </c>
      <c r="C25" s="57"/>
      <c r="D25" s="57"/>
      <c r="E25" s="57"/>
      <c r="F25" s="57"/>
      <c r="G25" s="1"/>
    </row>
    <row r="26" spans="1:7" x14ac:dyDescent="0.35">
      <c r="A26" s="1"/>
      <c r="B26" s="58" t="s">
        <v>76</v>
      </c>
      <c r="C26" s="58"/>
      <c r="D26" s="58"/>
      <c r="E26" s="9">
        <f>'Fane 6. Skattesagen'!G12</f>
        <v>0</v>
      </c>
      <c r="F26" s="58" t="s">
        <v>3</v>
      </c>
      <c r="G26" s="1"/>
    </row>
    <row r="27" spans="1:7" x14ac:dyDescent="0.35">
      <c r="A27" s="1"/>
      <c r="B27" s="57" t="s">
        <v>39</v>
      </c>
      <c r="C27" s="57"/>
      <c r="D27" s="57"/>
      <c r="E27" s="10">
        <f>SUM(E15:E17:E22:E24:E26)</f>
        <v>11489796.538503706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QxshJWYCeOnC7z2ZIn6vwbcHYX+TklBluCwvN97xJ4cydhoXwtKzFoU4QXsHq2TWB4SHG5aPOZXTDR28wmbI8Q==" saltValue="fHbhmKWqkIUPLl7y+LQzu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56</v>
      </c>
      <c r="C8" s="54"/>
      <c r="D8" s="54"/>
      <c r="E8" s="7">
        <f>'Fane 2.1. Økonomisk ramme 2023'!E15</f>
        <v>8925543.0937120169</v>
      </c>
      <c r="F8" s="54" t="s">
        <v>3</v>
      </c>
      <c r="G8" s="1"/>
    </row>
    <row r="9" spans="1:7" ht="15" customHeight="1" x14ac:dyDescent="0.35">
      <c r="A9" s="1"/>
      <c r="B9" s="55" t="s">
        <v>17</v>
      </c>
      <c r="C9" s="54"/>
      <c r="D9" s="54"/>
      <c r="E9" s="8">
        <f>SUM(E8:E8)*'Fane 11. Nøgletal'!C15</f>
        <v>317749.33413614781</v>
      </c>
      <c r="F9" s="54" t="s">
        <v>3</v>
      </c>
      <c r="G9" s="1"/>
    </row>
    <row r="10" spans="1:7" ht="15" customHeight="1" x14ac:dyDescent="0.35">
      <c r="A10" s="1"/>
      <c r="B10" s="55" t="s">
        <v>44</v>
      </c>
      <c r="C10" s="54"/>
      <c r="D10" s="54"/>
      <c r="E10" s="8">
        <f>-SUM(E8:E9)*'Fane 11. Nøgletal'!C20</f>
        <v>-157135.97127341881</v>
      </c>
      <c r="F10" s="54" t="s">
        <v>3</v>
      </c>
      <c r="G10" s="1"/>
    </row>
    <row r="11" spans="1:7" ht="15" customHeight="1" x14ac:dyDescent="0.35">
      <c r="A11" s="1"/>
      <c r="B11" s="28" t="s">
        <v>19</v>
      </c>
      <c r="C11" s="28"/>
      <c r="D11" s="28"/>
      <c r="E11" s="9">
        <f>SUM(E8:E10)</f>
        <v>9086156.4565747455</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f>
        <v>3308626.8880672487</v>
      </c>
      <c r="F13" s="58" t="s">
        <v>3</v>
      </c>
      <c r="G13" s="1"/>
    </row>
    <row r="14" spans="1:7" x14ac:dyDescent="0.35">
      <c r="A14" s="1"/>
      <c r="B14" s="57" t="s">
        <v>62</v>
      </c>
      <c r="C14" s="57"/>
      <c r="D14" s="57"/>
      <c r="E14" s="57"/>
      <c r="F14" s="57"/>
      <c r="G14" s="1"/>
    </row>
    <row r="15" spans="1:7" x14ac:dyDescent="0.35">
      <c r="A15" s="1"/>
      <c r="B15" s="58" t="s">
        <v>77</v>
      </c>
      <c r="C15" s="32"/>
      <c r="D15" s="32"/>
      <c r="E15" s="9">
        <f>'Fane 5. Kontrol af ØR2021'!E30</f>
        <v>-630635.40038719052</v>
      </c>
      <c r="F15" s="58" t="s">
        <v>3</v>
      </c>
      <c r="G15" s="1"/>
    </row>
    <row r="16" spans="1:7" x14ac:dyDescent="0.35">
      <c r="A16" s="1"/>
      <c r="B16" s="57" t="s">
        <v>75</v>
      </c>
      <c r="C16" s="57"/>
      <c r="D16" s="57"/>
      <c r="E16" s="57"/>
      <c r="F16" s="57"/>
      <c r="G16" s="1"/>
    </row>
    <row r="17" spans="1:7" x14ac:dyDescent="0.35">
      <c r="A17" s="1"/>
      <c r="B17" s="58" t="s">
        <v>76</v>
      </c>
      <c r="C17" s="58"/>
      <c r="D17" s="58"/>
      <c r="E17" s="9">
        <f>'Fane 6. Skattesagen'!G13</f>
        <v>0</v>
      </c>
      <c r="F17" s="58" t="s">
        <v>3</v>
      </c>
      <c r="G17" s="1"/>
    </row>
    <row r="18" spans="1:7" x14ac:dyDescent="0.35">
      <c r="A18" s="1"/>
      <c r="B18" s="57" t="s">
        <v>57</v>
      </c>
      <c r="C18" s="57"/>
      <c r="D18" s="57"/>
      <c r="E18" s="10">
        <f>SUM(E11,E13,E15,E17)</f>
        <v>11764147.944254804</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8XP1Xb5OaKwOp6Sm/wUBu9A/r6RF7o7UWx1UAOOmtJjwS4jJP/pjT8EiaP9JjxSXh1wRl2Ued60EgzwSuAGD9A==" saltValue="xxdBP58/6PpcanXiR78AT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65</v>
      </c>
      <c r="C8" s="54"/>
      <c r="D8" s="54"/>
      <c r="E8" s="7">
        <f>'Fane 2.2. Økonomisk ramme 2024'!E11</f>
        <v>9086156.4565747455</v>
      </c>
      <c r="F8" s="54" t="s">
        <v>3</v>
      </c>
      <c r="G8" s="1"/>
    </row>
    <row r="9" spans="1:7" ht="15" customHeight="1" x14ac:dyDescent="0.35">
      <c r="A9" s="1"/>
      <c r="B9" s="55" t="s">
        <v>17</v>
      </c>
      <c r="C9" s="54"/>
      <c r="D9" s="54"/>
      <c r="E9" s="8">
        <f>SUM(E8:E8)*'Fane 11. Nøgletal'!C15</f>
        <v>323467.16985406092</v>
      </c>
      <c r="F9" s="54" t="s">
        <v>3</v>
      </c>
      <c r="G9" s="1"/>
    </row>
    <row r="10" spans="1:7" ht="15" customHeight="1" x14ac:dyDescent="0.35">
      <c r="A10" s="1"/>
      <c r="B10" s="55" t="s">
        <v>44</v>
      </c>
      <c r="C10" s="54"/>
      <c r="D10" s="54"/>
      <c r="E10" s="8">
        <f>-SUM(E8:E9)*'Fane 11. Nøgletal'!C20</f>
        <v>-159963.60164928975</v>
      </c>
      <c r="F10" s="54" t="s">
        <v>3</v>
      </c>
      <c r="G10" s="1"/>
    </row>
    <row r="11" spans="1:7" x14ac:dyDescent="0.35">
      <c r="A11" s="1"/>
      <c r="B11" s="28" t="s">
        <v>19</v>
      </c>
      <c r="C11" s="28"/>
      <c r="D11" s="28"/>
      <c r="E11" s="9">
        <f>SUM(E8:E10)</f>
        <v>9249660.0247795172</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Nøgletal'!C15)^2</f>
        <v>3426414.0052824426</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Skattesagen'!G14</f>
        <v>0</v>
      </c>
      <c r="F17" s="58" t="s">
        <v>3</v>
      </c>
      <c r="G17" s="1"/>
    </row>
    <row r="18" spans="1:7" x14ac:dyDescent="0.35">
      <c r="A18" s="1"/>
      <c r="B18" s="57" t="s">
        <v>66</v>
      </c>
      <c r="C18" s="57"/>
      <c r="D18" s="57"/>
      <c r="E18" s="10">
        <f>SUM(E11,E13,E15,E17)</f>
        <v>12676074.03006196</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48UWid+lb8EAt8YXn7MHtOfNiosDevgwKtPxBID65AOOo6i71s0VWY5ZuQKlX2VFlQunODQCSzsBUd1pcoIhaA==" saltValue="aM2YS91IuK8BrM8f/tcw8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86</v>
      </c>
      <c r="C8" s="54"/>
      <c r="D8" s="54"/>
      <c r="E8" s="7">
        <f>'Fane 2.3. Økonomisk ramme 2025'!E11</f>
        <v>9249660.0247795172</v>
      </c>
      <c r="F8" s="54" t="s">
        <v>3</v>
      </c>
      <c r="G8" s="1"/>
    </row>
    <row r="9" spans="1:7" ht="15" customHeight="1" x14ac:dyDescent="0.35">
      <c r="A9" s="1"/>
      <c r="B9" s="55" t="s">
        <v>17</v>
      </c>
      <c r="C9" s="54"/>
      <c r="D9" s="54"/>
      <c r="E9" s="8">
        <f>SUM(E8:E8)*'Fane 11. Nøgletal'!C15</f>
        <v>329287.89688215079</v>
      </c>
      <c r="F9" s="54" t="s">
        <v>3</v>
      </c>
      <c r="G9" s="1"/>
    </row>
    <row r="10" spans="1:7" ht="15" customHeight="1" x14ac:dyDescent="0.35">
      <c r="A10" s="1"/>
      <c r="B10" s="55" t="s">
        <v>44</v>
      </c>
      <c r="C10" s="54"/>
      <c r="D10" s="54"/>
      <c r="E10" s="8">
        <f>-SUM(E8:E9)*'Fane 11. Nøgletal'!C20</f>
        <v>-162842.11466824837</v>
      </c>
      <c r="F10" s="54" t="s">
        <v>3</v>
      </c>
      <c r="G10" s="1"/>
    </row>
    <row r="11" spans="1:7" x14ac:dyDescent="0.35">
      <c r="A11" s="1"/>
      <c r="B11" s="28" t="s">
        <v>19</v>
      </c>
      <c r="C11" s="28"/>
      <c r="D11" s="28"/>
      <c r="E11" s="9">
        <f>SUM(E8:E10)</f>
        <v>9416105.8069934193</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Nøgletal'!C15)^3</f>
        <v>3548394.3438704982</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Skattesagen'!G15</f>
        <v>0</v>
      </c>
      <c r="F17" s="58" t="s">
        <v>3</v>
      </c>
      <c r="G17" s="1"/>
    </row>
    <row r="18" spans="1:7" x14ac:dyDescent="0.35">
      <c r="A18" s="1"/>
      <c r="B18" s="57" t="s">
        <v>87</v>
      </c>
      <c r="C18" s="57"/>
      <c r="D18" s="57"/>
      <c r="E18" s="10">
        <f>SUM(E11,E13,E15,E17)</f>
        <v>12964500.150863918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PnejcXc7zjBMXddZVnDSSaSS5d4wxZZuKxAH7bJ6ynVkOsA3ffbSUByw1F5D9g72UAAEZR9KRGUNGZXo1/nRCA==" saltValue="4rS80vuYDJ2iLdbKYnFOs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88</v>
      </c>
      <c r="C3" s="106"/>
      <c r="D3" s="106"/>
      <c r="E3" s="106"/>
      <c r="F3" s="106"/>
      <c r="G3" s="1"/>
    </row>
    <row r="4" spans="1:7" ht="29.2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89</v>
      </c>
      <c r="C8" s="57"/>
      <c r="D8" s="57"/>
      <c r="E8" s="57"/>
      <c r="F8" s="57"/>
      <c r="G8" s="1"/>
    </row>
    <row r="9" spans="1:7" x14ac:dyDescent="0.35">
      <c r="A9" s="1"/>
      <c r="B9" s="107" t="s">
        <v>22</v>
      </c>
      <c r="C9" s="107"/>
      <c r="D9" s="107"/>
      <c r="E9" s="7">
        <v>8527745.797667766</v>
      </c>
      <c r="F9" s="54" t="s">
        <v>3</v>
      </c>
      <c r="G9" s="1"/>
    </row>
    <row r="10" spans="1:7" x14ac:dyDescent="0.35">
      <c r="A10" s="1"/>
      <c r="B10" s="108" t="s">
        <v>103</v>
      </c>
      <c r="C10" s="109"/>
      <c r="D10" s="110"/>
      <c r="E10" s="7">
        <v>0</v>
      </c>
      <c r="F10" s="54" t="s">
        <v>3</v>
      </c>
      <c r="G10" s="1"/>
    </row>
    <row r="11" spans="1:7" x14ac:dyDescent="0.35">
      <c r="A11" s="1"/>
      <c r="B11" s="93" t="s">
        <v>50</v>
      </c>
      <c r="C11" s="93"/>
      <c r="D11" s="93"/>
      <c r="E11" s="7">
        <v>11001.184500000001</v>
      </c>
      <c r="F11" s="54" t="s">
        <v>3</v>
      </c>
      <c r="G11" s="1"/>
    </row>
    <row r="12" spans="1:7" x14ac:dyDescent="0.35">
      <c r="A12" s="1"/>
      <c r="B12" s="93" t="s">
        <v>54</v>
      </c>
      <c r="C12" s="93"/>
      <c r="D12" s="93"/>
      <c r="E12" s="7">
        <v>0</v>
      </c>
      <c r="F12" s="54" t="s">
        <v>3</v>
      </c>
      <c r="G12" s="1"/>
    </row>
    <row r="13" spans="1:7" x14ac:dyDescent="0.35">
      <c r="A13" s="1"/>
      <c r="B13" s="93" t="s">
        <v>51</v>
      </c>
      <c r="C13" s="93"/>
      <c r="D13" s="93"/>
      <c r="E13" s="8">
        <v>0</v>
      </c>
      <c r="F13" s="54" t="s">
        <v>3</v>
      </c>
      <c r="G13" s="1"/>
    </row>
    <row r="14" spans="1:7" x14ac:dyDescent="0.35">
      <c r="A14" s="1"/>
      <c r="B14" s="93" t="s">
        <v>17</v>
      </c>
      <c r="C14" s="93"/>
      <c r="D14" s="93"/>
      <c r="E14" s="8">
        <f>E9*'Fane 11. Nøgletal'!C13+SUM(E11:E13)*'Fane 11. Nøgletal'!C14</f>
        <v>104074.80264039675</v>
      </c>
      <c r="F14" s="54" t="s">
        <v>3</v>
      </c>
      <c r="G14" s="1"/>
    </row>
    <row r="15" spans="1:7" x14ac:dyDescent="0.35">
      <c r="A15" s="1"/>
      <c r="B15" s="93" t="s">
        <v>44</v>
      </c>
      <c r="C15" s="93"/>
      <c r="D15" s="93"/>
      <c r="E15" s="8">
        <f>-SUM(E9:E14)*'Fane 11. Nøgletal'!C20</f>
        <v>-146927.97034173878</v>
      </c>
      <c r="F15" s="54" t="s">
        <v>3</v>
      </c>
      <c r="G15" s="1"/>
    </row>
    <row r="16" spans="1:7" x14ac:dyDescent="0.35">
      <c r="A16" s="1"/>
      <c r="B16" s="94" t="s">
        <v>19</v>
      </c>
      <c r="C16" s="94"/>
      <c r="D16" s="94"/>
      <c r="E16" s="33">
        <f>SUM(E9:E15)</f>
        <v>8495893.8144664243</v>
      </c>
      <c r="F16" s="34" t="s">
        <v>3</v>
      </c>
      <c r="G16" s="1"/>
    </row>
    <row r="17" spans="1:7" x14ac:dyDescent="0.35">
      <c r="A17" s="1"/>
      <c r="B17" s="95" t="s">
        <v>11</v>
      </c>
      <c r="C17" s="95"/>
      <c r="D17" s="95"/>
      <c r="E17" s="57"/>
      <c r="F17" s="57"/>
      <c r="G17" s="1"/>
    </row>
    <row r="18" spans="1:7" x14ac:dyDescent="0.35">
      <c r="A18" s="1"/>
      <c r="B18" s="96" t="s">
        <v>11</v>
      </c>
      <c r="C18" s="96"/>
      <c r="D18" s="96"/>
      <c r="E18" s="9">
        <v>2232538.1342696403</v>
      </c>
      <c r="F18" s="58" t="s">
        <v>3</v>
      </c>
      <c r="G18" s="1"/>
    </row>
    <row r="19" spans="1:7" ht="15.4" customHeight="1" x14ac:dyDescent="0.35">
      <c r="A19" s="1"/>
      <c r="B19" s="57" t="s">
        <v>36</v>
      </c>
      <c r="C19" s="57"/>
      <c r="D19" s="57"/>
      <c r="E19" s="57"/>
      <c r="F19" s="57"/>
      <c r="G19" s="1"/>
    </row>
    <row r="20" spans="1:7" ht="15.75" customHeight="1" x14ac:dyDescent="0.35">
      <c r="A20" s="1"/>
      <c r="B20" s="97" t="s">
        <v>33</v>
      </c>
      <c r="C20" s="98"/>
      <c r="D20" s="99"/>
      <c r="E20" s="52">
        <v>0</v>
      </c>
      <c r="F20" s="27" t="s">
        <v>3</v>
      </c>
      <c r="G20" s="1"/>
    </row>
    <row r="21" spans="1:7" x14ac:dyDescent="0.35">
      <c r="A21" s="1"/>
      <c r="B21" s="97" t="s">
        <v>34</v>
      </c>
      <c r="C21" s="98"/>
      <c r="D21" s="99"/>
      <c r="E21" s="52">
        <v>0</v>
      </c>
      <c r="F21" s="27" t="s">
        <v>3</v>
      </c>
      <c r="G21" s="1"/>
    </row>
    <row r="22" spans="1:7" x14ac:dyDescent="0.35">
      <c r="A22" s="1"/>
      <c r="B22" s="100" t="s">
        <v>37</v>
      </c>
      <c r="C22" s="101"/>
      <c r="D22" s="102"/>
      <c r="E22" s="9">
        <f>SUM(E20:E21)</f>
        <v>0</v>
      </c>
      <c r="F22" s="9" t="s">
        <v>3</v>
      </c>
      <c r="G22" s="1"/>
    </row>
    <row r="23" spans="1:7" ht="15.75" customHeight="1" x14ac:dyDescent="0.35">
      <c r="A23" s="1"/>
      <c r="B23" s="57" t="s">
        <v>62</v>
      </c>
      <c r="C23" s="57"/>
      <c r="D23" s="57"/>
      <c r="E23" s="57"/>
      <c r="F23" s="57"/>
      <c r="G23" s="1"/>
    </row>
    <row r="24" spans="1:7" x14ac:dyDescent="0.35">
      <c r="A24" s="1"/>
      <c r="B24" s="67" t="s">
        <v>27</v>
      </c>
      <c r="C24" s="28"/>
      <c r="D24" s="28"/>
      <c r="E24" s="9">
        <v>426443.75911879243</v>
      </c>
      <c r="F24" s="58" t="s">
        <v>3</v>
      </c>
      <c r="G24" s="1"/>
    </row>
    <row r="25" spans="1:7" x14ac:dyDescent="0.35">
      <c r="A25" s="1"/>
      <c r="B25" s="67" t="s">
        <v>63</v>
      </c>
      <c r="C25" s="28"/>
      <c r="D25" s="28"/>
      <c r="E25" s="9">
        <v>-245171.21670379862</v>
      </c>
      <c r="F25" s="58" t="s">
        <v>3</v>
      </c>
      <c r="G25" s="1"/>
    </row>
    <row r="26" spans="1:7" x14ac:dyDescent="0.35">
      <c r="A26" s="1"/>
      <c r="B26" s="57" t="s">
        <v>75</v>
      </c>
      <c r="C26" s="57"/>
      <c r="D26" s="57"/>
      <c r="E26" s="57"/>
      <c r="F26" s="57"/>
      <c r="G26" s="1"/>
    </row>
    <row r="27" spans="1:7" x14ac:dyDescent="0.35">
      <c r="A27" s="1"/>
      <c r="B27" s="103" t="s">
        <v>76</v>
      </c>
      <c r="C27" s="104"/>
      <c r="D27" s="105"/>
      <c r="E27" s="9">
        <f>'Fane 6. Skattesagen'!G11</f>
        <v>0</v>
      </c>
      <c r="F27" s="58" t="s">
        <v>3</v>
      </c>
      <c r="G27" s="1"/>
    </row>
    <row r="28" spans="1:7" ht="15" customHeight="1" x14ac:dyDescent="0.35">
      <c r="A28" s="1"/>
      <c r="B28" s="35" t="s">
        <v>147</v>
      </c>
      <c r="C28" s="35"/>
      <c r="D28" s="35"/>
      <c r="E28" s="36">
        <f>E16+E18+E22+E24+E25+E27</f>
        <v>10909704.491151057</v>
      </c>
      <c r="F28" s="37" t="s">
        <v>3</v>
      </c>
      <c r="G28" s="1"/>
    </row>
    <row r="29" spans="1:7" ht="27" customHeight="1" x14ac:dyDescent="0.35">
      <c r="A29" s="1"/>
      <c r="B29" s="92" t="s">
        <v>90</v>
      </c>
      <c r="C29" s="92"/>
      <c r="D29" s="92"/>
      <c r="E29" s="92"/>
      <c r="F29" s="92"/>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IDvF9QNgK6TUpzK7nVcRVSrFbI1O9QWZ0QQwRal7Q6YE5us4Sziiaju5OKA6qoIbG7iSrTelNvoUUtD7WHmCjg==" saltValue="oaHsp/LahBVa17dsqkfAK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8" t="s">
        <v>109</v>
      </c>
      <c r="D9" s="58"/>
      <c r="E9" s="1"/>
      <c r="F9" s="1"/>
    </row>
    <row r="10" spans="1:6" x14ac:dyDescent="0.35">
      <c r="A10" s="1"/>
      <c r="B10" s="23" t="s">
        <v>127</v>
      </c>
      <c r="C10" s="8">
        <v>2962953</v>
      </c>
      <c r="D10" s="12" t="s">
        <v>3</v>
      </c>
      <c r="E10" s="1"/>
      <c r="F10" s="1"/>
    </row>
    <row r="11" spans="1:6" x14ac:dyDescent="0.35">
      <c r="A11" s="1"/>
      <c r="B11" s="23" t="s">
        <v>128</v>
      </c>
      <c r="C11" s="8">
        <v>10213</v>
      </c>
      <c r="D11" s="12" t="s">
        <v>3</v>
      </c>
      <c r="E11" s="1"/>
      <c r="F11" s="1"/>
    </row>
    <row r="12" spans="1:6" x14ac:dyDescent="0.35">
      <c r="A12" s="1"/>
      <c r="B12" s="23" t="s">
        <v>129</v>
      </c>
      <c r="C12" s="8">
        <v>5842</v>
      </c>
      <c r="D12" s="12" t="s">
        <v>3</v>
      </c>
      <c r="E12" s="1"/>
      <c r="F12" s="1"/>
    </row>
    <row r="13" spans="1:6" x14ac:dyDescent="0.35">
      <c r="A13" s="1"/>
      <c r="B13" s="73" t="s">
        <v>92</v>
      </c>
      <c r="C13" s="10">
        <f>SUM(C10:C12)</f>
        <v>2979008</v>
      </c>
      <c r="D13" s="11" t="s">
        <v>3</v>
      </c>
      <c r="E13" s="1"/>
      <c r="F13" s="1"/>
    </row>
    <row r="14" spans="1:6" x14ac:dyDescent="0.35">
      <c r="A14" s="1"/>
      <c r="B14" s="73" t="s">
        <v>93</v>
      </c>
      <c r="C14" s="10">
        <f>C13*(1+'Fane 11. Nøgletal'!C15)^2</f>
        <v>3194888.8451788803</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ax4vkLBJb8n9X5ABWo3uTDPEAYDuodQqKxcoEqje2Zg6GxkNHzENMyY3Jupzn2fdthsg7f5GCHDvdu7CMvgi0w==" saltValue="m1e9n4y41GiX8k+AoMmsk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6" t="s">
        <v>152</v>
      </c>
      <c r="C3" s="106"/>
      <c r="D3" s="106"/>
      <c r="E3" s="106"/>
      <c r="F3" s="106"/>
      <c r="G3" s="1"/>
    </row>
    <row r="4" spans="1:7" ht="15" customHeight="1" x14ac:dyDescent="0.35">
      <c r="A4" s="1"/>
      <c r="B4" s="106"/>
      <c r="C4" s="106"/>
      <c r="D4" s="106"/>
      <c r="E4" s="106"/>
      <c r="F4" s="106"/>
      <c r="G4" s="1"/>
    </row>
    <row r="5" spans="1:7" ht="15" customHeight="1" x14ac:dyDescent="0.35">
      <c r="A5" s="1"/>
      <c r="B5" s="53"/>
      <c r="C5" s="53"/>
      <c r="D5" s="53"/>
      <c r="E5" s="53"/>
      <c r="F5" s="53"/>
      <c r="G5" s="1"/>
    </row>
    <row r="6" spans="1:7" ht="15" customHeight="1" x14ac:dyDescent="0.35">
      <c r="A6" s="1"/>
      <c r="B6" s="53"/>
      <c r="C6" s="53"/>
      <c r="D6" s="53"/>
      <c r="E6" s="53"/>
      <c r="F6" s="53"/>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-554517.40491478145</v>
      </c>
      <c r="F9" s="12" t="s">
        <v>3</v>
      </c>
      <c r="G9" s="1"/>
    </row>
    <row r="10" spans="1:7" x14ac:dyDescent="0.35">
      <c r="A10" s="1"/>
      <c r="B10" s="118" t="s">
        <v>130</v>
      </c>
      <c r="C10" s="119"/>
      <c r="D10" s="120"/>
      <c r="E10" s="8">
        <v>-554517.40491478145</v>
      </c>
      <c r="F10" s="12" t="s">
        <v>3</v>
      </c>
      <c r="G10" s="1"/>
    </row>
    <row r="11" spans="1:7" x14ac:dyDescent="0.35">
      <c r="A11" s="1"/>
      <c r="B11" s="73"/>
      <c r="C11" s="22"/>
      <c r="D11" s="22"/>
      <c r="E11" s="22"/>
      <c r="F11" s="74"/>
      <c r="G11" s="1"/>
    </row>
    <row r="12" spans="1:7" ht="68.25" customHeight="1" x14ac:dyDescent="0.35">
      <c r="A12" s="1"/>
      <c r="B12" s="124" t="s">
        <v>149</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f>-138629.351228695*2</f>
        <v>-277258.70245739003</v>
      </c>
      <c r="F15" s="12" t="s">
        <v>3</v>
      </c>
      <c r="G15" s="1"/>
    </row>
    <row r="16" spans="1:7" x14ac:dyDescent="0.35">
      <c r="A16" s="1"/>
      <c r="B16" s="118" t="s">
        <v>131</v>
      </c>
      <c r="C16" s="119"/>
      <c r="D16" s="120"/>
      <c r="E16" s="8">
        <f>-138629.351228695*2</f>
        <v>-277258.70245739003</v>
      </c>
      <c r="F16" s="12" t="s">
        <v>3</v>
      </c>
      <c r="G16" s="1"/>
    </row>
    <row r="17" spans="1:7" x14ac:dyDescent="0.35">
      <c r="A17" s="1"/>
      <c r="B17" s="73"/>
      <c r="C17" s="22"/>
      <c r="D17" s="22"/>
      <c r="E17" s="22"/>
      <c r="F17" s="74"/>
      <c r="G17" s="1"/>
    </row>
    <row r="18" spans="1:7" ht="31.5" customHeight="1" x14ac:dyDescent="0.35">
      <c r="A18" s="1"/>
      <c r="B18" s="124" t="s">
        <v>150</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11329118.604140399</v>
      </c>
      <c r="F21" s="12" t="s">
        <v>3</v>
      </c>
      <c r="G21" s="1"/>
    </row>
    <row r="22" spans="1:7" x14ac:dyDescent="0.35">
      <c r="A22" s="1"/>
      <c r="B22" s="68" t="s">
        <v>132</v>
      </c>
      <c r="C22" s="69"/>
      <c r="D22" s="70"/>
      <c r="E22" s="8">
        <v>12035872</v>
      </c>
      <c r="F22" s="12" t="s">
        <v>3</v>
      </c>
      <c r="G22" s="1"/>
    </row>
    <row r="23" spans="1:7" x14ac:dyDescent="0.35">
      <c r="A23" s="1"/>
      <c r="B23" s="68" t="s">
        <v>26</v>
      </c>
      <c r="C23" s="69"/>
      <c r="D23" s="70"/>
      <c r="E23" s="8">
        <v>0</v>
      </c>
      <c r="F23" s="12" t="s">
        <v>3</v>
      </c>
      <c r="G23" s="1"/>
    </row>
    <row r="24" spans="1:7" x14ac:dyDescent="0.35">
      <c r="A24" s="1"/>
      <c r="B24" s="59" t="s">
        <v>151</v>
      </c>
      <c r="C24" s="60"/>
      <c r="D24" s="61"/>
      <c r="E24" s="50">
        <f>E21-(E22-E23)</f>
        <v>-706753.39585960098</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133</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-1261270.800774381</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-630635.40038719052</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e9i5p5V41g9uE6NMe+QKAOhXk0EHm/uh91c0TFpLBsw2ZQbEx4rPbe3ozvFK9wg7ofQ3TJwFWzZ6eKQ7EuwdXQ==" saltValue="bdfVlLhLxf35WPVNxyP3Q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3" t="s">
        <v>124</v>
      </c>
      <c r="C9" s="104"/>
      <c r="D9" s="104"/>
      <c r="E9" s="104"/>
      <c r="F9" s="104"/>
      <c r="G9" s="104"/>
      <c r="H9" s="105"/>
      <c r="I9" s="1"/>
    </row>
    <row r="10" spans="1:9" x14ac:dyDescent="0.35">
      <c r="A10" s="1"/>
      <c r="B10" s="108" t="s">
        <v>138</v>
      </c>
      <c r="C10" s="109"/>
      <c r="D10" s="109"/>
      <c r="E10" s="109"/>
      <c r="F10" s="110"/>
      <c r="G10" s="51">
        <v>0</v>
      </c>
      <c r="H10" s="8" t="s">
        <v>3</v>
      </c>
      <c r="I10" s="1"/>
    </row>
    <row r="11" spans="1:9" x14ac:dyDescent="0.35">
      <c r="A11" s="1"/>
      <c r="B11" s="108" t="s">
        <v>139</v>
      </c>
      <c r="C11" s="109"/>
      <c r="D11" s="109"/>
      <c r="E11" s="109"/>
      <c r="F11" s="110"/>
      <c r="G11" s="51">
        <v>0</v>
      </c>
      <c r="H11" s="8" t="s">
        <v>3</v>
      </c>
      <c r="I11" s="1"/>
    </row>
    <row r="12" spans="1:9" x14ac:dyDescent="0.35">
      <c r="A12" s="1"/>
      <c r="B12" s="108" t="s">
        <v>140</v>
      </c>
      <c r="C12" s="109"/>
      <c r="D12" s="109"/>
      <c r="E12" s="109"/>
      <c r="F12" s="110"/>
      <c r="G12" s="8">
        <v>0</v>
      </c>
      <c r="H12" s="8" t="s">
        <v>3</v>
      </c>
      <c r="I12" s="1"/>
    </row>
    <row r="13" spans="1:9" x14ac:dyDescent="0.35">
      <c r="A13" s="1"/>
      <c r="B13" s="108" t="s">
        <v>141</v>
      </c>
      <c r="C13" s="109"/>
      <c r="D13" s="109"/>
      <c r="E13" s="109"/>
      <c r="F13" s="110"/>
      <c r="G13" s="8">
        <v>0</v>
      </c>
      <c r="H13" s="8" t="s">
        <v>3</v>
      </c>
      <c r="I13" s="1"/>
    </row>
    <row r="14" spans="1:9" x14ac:dyDescent="0.35">
      <c r="A14" s="1"/>
      <c r="B14" s="108" t="s">
        <v>142</v>
      </c>
      <c r="C14" s="109"/>
      <c r="D14" s="109"/>
      <c r="E14" s="109"/>
      <c r="F14" s="110"/>
      <c r="G14" s="8">
        <v>0</v>
      </c>
      <c r="H14" s="8" t="s">
        <v>3</v>
      </c>
      <c r="I14" s="1"/>
    </row>
    <row r="15" spans="1:9" x14ac:dyDescent="0.35">
      <c r="A15" s="1"/>
      <c r="B15" s="108" t="s">
        <v>143</v>
      </c>
      <c r="C15" s="109"/>
      <c r="D15" s="109"/>
      <c r="E15" s="109"/>
      <c r="F15" s="110"/>
      <c r="G15" s="8">
        <v>0</v>
      </c>
      <c r="H15" s="8" t="s">
        <v>3</v>
      </c>
      <c r="I15" s="1"/>
    </row>
    <row r="16" spans="1:9" x14ac:dyDescent="0.35">
      <c r="A16" s="1"/>
      <c r="B16" s="108" t="s">
        <v>144</v>
      </c>
      <c r="C16" s="109"/>
      <c r="D16" s="109"/>
      <c r="E16" s="109"/>
      <c r="F16" s="110"/>
      <c r="G16" s="8">
        <v>0</v>
      </c>
      <c r="H16" s="8" t="s">
        <v>3</v>
      </c>
      <c r="I16" s="1"/>
    </row>
    <row r="17" spans="1:9" x14ac:dyDescent="0.35">
      <c r="A17" s="1"/>
      <c r="B17" s="108" t="s">
        <v>145</v>
      </c>
      <c r="C17" s="109"/>
      <c r="D17" s="109"/>
      <c r="E17" s="109"/>
      <c r="F17" s="110"/>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8z6/tRelEiXLVsLv7uq4YECOYiSAdQVbxP+SLaCLLimGZO+OdowqrOBThjGN2whVnQn6dL5WN8uRf4kCm4Avw==" saltValue="mHsXw8iBZBw3CpplQY+Ik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2022-08-23T19:05:29Z</dcterms:modified>
</cp:coreProperties>
</file>