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HTK Vand AS (V098)\ØR2025\"/>
    </mc:Choice>
  </mc:AlternateContent>
  <xr:revisionPtr revIDLastSave="0" documentId="13_ncr:1_{5C908380-0B49-47D3-A469-75020D2DF660}"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ØR2024'!$C$36</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ØR2024'!$B$8:$D$36</definedName>
    <definedName name="ØR24total">'Fane 3. Omkostninger i ØR2024'!$C$36</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23" i="39" l="1"/>
  <c r="E24" i="39" s="1"/>
  <c r="C23" i="39"/>
  <c r="C24" i="39" s="1"/>
  <c r="J11" i="11" l="1"/>
  <c r="E10" i="37" s="1"/>
  <c r="H11" i="11"/>
  <c r="C10" i="37" s="1"/>
  <c r="C30" i="41" l="1"/>
  <c r="C18" i="15" l="1"/>
  <c r="C30" i="2"/>
  <c r="C18" i="40" l="1"/>
  <c r="C19" i="19" l="1"/>
  <c r="C20" i="19" s="1"/>
  <c r="C16" i="43" l="1"/>
  <c r="C16" i="23"/>
  <c r="C16" i="15"/>
  <c r="C15" i="2"/>
  <c r="E24" i="37"/>
  <c r="E25" i="37" s="1"/>
  <c r="C24" i="37"/>
  <c r="C25"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<sst xmlns="http://schemas.openxmlformats.org/spreadsheetml/2006/main" count="508" uniqueCount="218">
  <si>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</si>
  <si>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</si>
  <si>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</si>
  <si>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</si>
  <si>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</si>
  <si>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</si>
  <si>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</si>
  <si>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</si>
  <si>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</si>
  <si>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</si>
  <si>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</si>
  <si>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</si>
  <si>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</si>
  <si>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</si>
  <si>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</si>
  <si>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</si>
  <si>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</si>
  <si>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</si>
  <si>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</si>
  <si>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</si>
  <si>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</si>
  <si>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</si>
  <si>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</si>
  <si>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</si>
  <si>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</si>
  <si>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</si>
  <si>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</si>
  <si>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</si>
  <si>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</si>
  <si>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</si>
  <si>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</si>
  <si>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</si>
  <si>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</si>
  <si>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</si>
  <si>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</si>
  <si>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</si>
  <si>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</si>
  <si>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</si>
  <si>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</si>
  <si>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</si>
  <si>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</si>
  <si>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</si>
  <si>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</si>
  <si>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</si>
  <si>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</si>
  <si>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</si>
  <si>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</si>
  <si>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</si>
  <si>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</si>
  <si>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</si>
  <si>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</si>
  <si>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</si>
  <si>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</si>
  <si>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</si>
  <si>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</si>
  <si>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</si>
  <si>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</si>
  <si>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</si>
  <si>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</si>
  <si>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</si>
  <si>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</si>
  <si>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</si>
  <si>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</si>
  <si>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</si>
  <si>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</si>
  <si>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</si>
  <si>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</si>
  <si>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</si>
  <si>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</si>
  <si>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</si>
  <si>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</si>
  <si>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</si>
  <si>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</si>
  <si>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</si>
  <si>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</si>
  <si>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</si>
  <si>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</si>
  <si>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</si>
  <si>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</si>
  <si>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</si>
  <si>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</si>
  <si>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</si>
  <si>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</si>
  <si>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</si>
  <si>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</si>
  <si>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</si>
  <si>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</si>
  <si>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</si>
  <si>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</si>
  <si>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</si>
  <si>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</si>
  <si>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</si>
  <si>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</si>
  <si>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</si>
  <si>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</si>
  <si>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</si>
  <si>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</si>
  <si>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</si>
  <si>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</si>
  <si>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</si>
  <si>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</si>
  <si>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</si>
  <si>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</si>
  <si>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</si>
  <si>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</si>
  <si>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</si>
  <si>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</si>
  <si>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</si>
  <si>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</si>
  <si>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</si>
  <si>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</si>
  <si>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</si>
  <si>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</si>
  <si>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</si>
  <si>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</si>
  <si>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</si>
  <si>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</si>
  <si>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</si>
  <si>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</si>
  <si>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</si>
  <si>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</si>
  <si>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</si>
  <si>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</si>
  <si>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</si>
  <si>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</si>
  <si>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</si>
  <si>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</si>
  <si>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</si>
  <si>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</si>
  <si>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</si>
  <si>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</si>
  <si>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</si>
  <si>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</si>
  <si>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</si>
  <si>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</si>
  <si>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</si>
  <si>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</si>
  <si>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</si>
  <si>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</si>
  <si>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</si>
  <si>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</si>
  <si>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</si>
  <si>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</si>
  <si>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</si>
  <si>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</si>
  <si>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</si>
  <si>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</si>
  <si>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</si>
  <si>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</si>
  <si>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</si>
  <si>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</si>
  <si>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</si>
  <si>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</si>
  <si>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</si>
  <si>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</si>
  <si>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</si>
  <si>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</si>
  <si>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</si>
  <si>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</si>
  <si>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</si>
  <si>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</si>
  <si>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</si>
  <si>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</si>
  <si>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</si>
  <si>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</si>
  <si>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</si>
  <si>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</si>
  <si>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</si>
  <si>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</si>
  <si>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</si>
  <si>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</si>
  <si>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</si>
  <si>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</si>
  <si>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</si>
  <si>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</si>
  <si>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</si>
  <si>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</si>
  <si>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</si>
  <si>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</si>
  <si>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</si>
  <si>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</si>
  <si>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</si>
  <si>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</si>
  <si>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</si>
  <si>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</si>
  <si>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</si>
  <si>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</si>
  <si>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</si>
  <si>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</si>
  <si>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</si>
  <si>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</si>
  <si>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</si>
  <si>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</si>
  <si>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Justering af den økonomiske ramme</t>
  </si>
  <si>
    <t>Justering af den økonomiske ramme for stigende el-omkostninger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</si>
  <si>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</si>
  <si>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</si>
  <si>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</si>
  <si>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</si>
  <si>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</si>
  <si>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</si>
  <si>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Køb af ydelser og produkter fra andre vandselskaber reguleret af vandsektorloven</t>
  </si>
  <si>
    <t>Ejendomsskatter</t>
  </si>
  <si>
    <t>Tjenestemandspensioner</t>
  </si>
  <si>
    <t>vand</t>
  </si>
  <si>
    <t>Opsætning af elektroniske målere</t>
  </si>
  <si>
    <t>Beredskabsvej og Cathrinebergvej mv.</t>
  </si>
  <si>
    <t>Bondehøjvej 16-18</t>
  </si>
  <si>
    <t>Cikoriegade 2-14 og Blåfuglestræde 2-26 (NH6)</t>
  </si>
  <si>
    <t>Enghavegårdsvej</t>
  </si>
  <si>
    <t>Hedesøvej 83-147 (NH8 syd)</t>
  </si>
  <si>
    <t>Kallerupvej og Ågesholmsvej mv.</t>
  </si>
  <si>
    <t>NærHeden etape 6</t>
  </si>
  <si>
    <t>Ringforbindelse ved nyt rådhus</t>
  </si>
  <si>
    <t>Søgræsgade (stamvej)</t>
  </si>
  <si>
    <t>Søgræsgade 2-152 (NH2A)</t>
  </si>
  <si>
    <t>Tilslutning af enkeltejendomme</t>
  </si>
  <si>
    <t>Fusion med Andelsselskab Katrinebjerg Vandværk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</si>
</sst>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1" fontId="8" fillId="0"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8" t="s">
        <v>4</v>
      </c>
      <c r="D6" s="88"/>
      <c r="E6" s="88"/>
      <c r="F6" s="88"/>
      <c r="G6" s="1"/>
    </row>
    <row r="7" spans="1:7" ht="15" customHeight="1" x14ac:dyDescent="0.25">
      <c r="A7" s="1"/>
      <c r="B7" s="3"/>
      <c r="C7" s="88"/>
      <c r="D7" s="88"/>
      <c r="E7" s="88"/>
      <c r="F7" s="88"/>
      <c r="G7" s="1"/>
    </row>
    <row r="8" spans="1:7" ht="15.75" x14ac:dyDescent="0.25">
      <c r="A8" s="1"/>
      <c r="B8" s="4"/>
      <c r="C8" s="90" t="s">
        <v>198</v>
      </c>
      <c r="D8" s="90"/>
      <c r="E8" s="90"/>
      <c r="F8" s="90"/>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9" t="s">
        <v>5</v>
      </c>
      <c r="D11" s="89"/>
      <c r="E11" s="89"/>
      <c r="F11" s="89"/>
      <c r="G11" s="1"/>
    </row>
    <row r="12" spans="1:7" x14ac:dyDescent="0.25">
      <c r="A12" s="1"/>
      <c r="B12" s="1"/>
      <c r="C12" s="1"/>
      <c r="D12" s="1"/>
      <c r="E12" s="1"/>
      <c r="F12" s="1"/>
      <c r="G12" s="1"/>
    </row>
    <row r="13" spans="1:7" x14ac:dyDescent="0.25">
      <c r="A13" s="1"/>
      <c r="B13" s="6" t="s">
        <v>6</v>
      </c>
      <c r="C13" s="85" t="s">
        <v>124</v>
      </c>
      <c r="D13" s="86"/>
      <c r="E13" s="86"/>
      <c r="F13" s="87"/>
      <c r="G13" s="1"/>
    </row>
    <row r="14" spans="1:7" x14ac:dyDescent="0.25">
      <c r="A14" s="1"/>
      <c r="B14" s="6" t="s">
        <v>14</v>
      </c>
      <c r="C14" s="85" t="s">
        <v>159</v>
      </c>
      <c r="D14" s="86"/>
      <c r="E14" s="86"/>
      <c r="F14" s="87"/>
      <c r="G14" s="1"/>
    </row>
    <row r="15" spans="1:7" x14ac:dyDescent="0.25">
      <c r="A15" s="1"/>
      <c r="B15" s="6" t="s">
        <v>29</v>
      </c>
      <c r="C15" s="85" t="s">
        <v>107</v>
      </c>
      <c r="D15" s="86"/>
      <c r="E15" s="86"/>
      <c r="F15" s="87"/>
      <c r="G15" s="1"/>
    </row>
    <row r="16" spans="1:7" x14ac:dyDescent="0.25">
      <c r="A16" s="1"/>
      <c r="B16" s="6" t="s">
        <v>30</v>
      </c>
      <c r="C16" s="85" t="s">
        <v>125</v>
      </c>
      <c r="D16" s="86"/>
      <c r="E16" s="86"/>
      <c r="F16" s="87"/>
      <c r="G16" s="1"/>
    </row>
    <row r="17" spans="1:7" x14ac:dyDescent="0.25">
      <c r="A17" s="1"/>
      <c r="B17" s="6" t="s">
        <v>57</v>
      </c>
      <c r="C17" s="85" t="s">
        <v>126</v>
      </c>
      <c r="D17" s="86"/>
      <c r="E17" s="86"/>
      <c r="F17" s="87"/>
      <c r="G17" s="1"/>
    </row>
    <row r="18" spans="1:7" x14ac:dyDescent="0.25">
      <c r="A18" s="1"/>
      <c r="B18" s="6" t="s">
        <v>49</v>
      </c>
      <c r="C18" s="91" t="s">
        <v>42</v>
      </c>
      <c r="D18" s="92"/>
      <c r="E18" s="92"/>
      <c r="F18" s="93"/>
      <c r="G18" s="1"/>
    </row>
    <row r="19" spans="1:7" x14ac:dyDescent="0.25">
      <c r="A19" s="1"/>
      <c r="B19" s="6" t="s">
        <v>50</v>
      </c>
      <c r="C19" s="91" t="s">
        <v>43</v>
      </c>
      <c r="D19" s="92"/>
      <c r="E19" s="92"/>
      <c r="F19" s="93"/>
      <c r="G19" s="1"/>
    </row>
    <row r="20" spans="1:7" x14ac:dyDescent="0.25">
      <c r="A20" s="1"/>
      <c r="B20" s="6" t="s">
        <v>7</v>
      </c>
      <c r="C20" s="91" t="s">
        <v>9</v>
      </c>
      <c r="D20" s="92"/>
      <c r="E20" s="92"/>
      <c r="F20" s="93"/>
      <c r="G20" s="1"/>
    </row>
    <row r="21" spans="1:7" x14ac:dyDescent="0.25">
      <c r="A21" s="1"/>
      <c r="B21" s="6" t="s">
        <v>51</v>
      </c>
      <c r="C21" s="82" t="s">
        <v>11</v>
      </c>
      <c r="D21" s="83"/>
      <c r="E21" s="83"/>
      <c r="F21" s="84"/>
      <c r="G21" s="1"/>
    </row>
    <row r="22" spans="1:7" x14ac:dyDescent="0.25">
      <c r="A22" s="1"/>
      <c r="B22" s="6" t="s">
        <v>37</v>
      </c>
      <c r="C22" s="76" t="s">
        <v>127</v>
      </c>
      <c r="D22" s="77"/>
      <c r="E22" s="77"/>
      <c r="F22" s="78"/>
      <c r="G22" s="1"/>
    </row>
    <row r="23" spans="1:7" x14ac:dyDescent="0.25">
      <c r="A23" s="1"/>
      <c r="B23" s="6" t="s">
        <v>8</v>
      </c>
      <c r="C23" s="76" t="s">
        <v>89</v>
      </c>
      <c r="D23" s="77"/>
      <c r="E23" s="77"/>
      <c r="F23" s="78"/>
      <c r="G23" s="1"/>
    </row>
    <row r="24" spans="1:7" x14ac:dyDescent="0.25">
      <c r="A24" s="1"/>
      <c r="B24" s="6" t="s">
        <v>85</v>
      </c>
      <c r="C24" s="76" t="s">
        <v>78</v>
      </c>
      <c r="D24" s="77"/>
      <c r="E24" s="77"/>
      <c r="F24" s="78"/>
      <c r="G24" s="1"/>
    </row>
    <row r="25" spans="1:7" x14ac:dyDescent="0.25">
      <c r="A25" s="1"/>
      <c r="B25" s="6" t="s">
        <v>86</v>
      </c>
      <c r="C25" s="76" t="s">
        <v>38</v>
      </c>
      <c r="D25" s="77"/>
      <c r="E25" s="77"/>
      <c r="F25" s="78"/>
      <c r="G25" s="1"/>
    </row>
    <row r="26" spans="1:7" x14ac:dyDescent="0.25">
      <c r="A26" s="1"/>
      <c r="B26" s="6" t="s">
        <v>87</v>
      </c>
      <c r="C26" s="76" t="s">
        <v>39</v>
      </c>
      <c r="D26" s="77"/>
      <c r="E26" s="77"/>
      <c r="F26" s="78"/>
      <c r="G26" s="1"/>
    </row>
    <row r="27" spans="1:7" x14ac:dyDescent="0.25">
      <c r="A27" s="1"/>
      <c r="B27" s="6" t="s">
        <v>52</v>
      </c>
      <c r="C27" s="76" t="s">
        <v>58</v>
      </c>
      <c r="D27" s="77"/>
      <c r="E27" s="77"/>
      <c r="F27" s="78"/>
      <c r="G27" s="1"/>
    </row>
    <row r="28" spans="1:7" x14ac:dyDescent="0.25">
      <c r="A28" s="1"/>
      <c r="B28" s="6" t="s">
        <v>46</v>
      </c>
      <c r="C28" s="76" t="s">
        <v>31</v>
      </c>
      <c r="D28" s="77"/>
      <c r="E28" s="77"/>
      <c r="F28" s="78"/>
      <c r="G28" s="1"/>
    </row>
    <row r="29" spans="1:7" x14ac:dyDescent="0.25">
      <c r="A29" s="1"/>
      <c r="B29" s="6" t="s">
        <v>88</v>
      </c>
      <c r="C29" s="79" t="s">
        <v>47</v>
      </c>
      <c r="D29" s="80"/>
      <c r="E29" s="80"/>
      <c r="F29" s="8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0GjD7JHoyONywTDokUUZaoMWh4T+seUZjACPvK1KO8BI3f+GM2tBSF+Zpc1NkqQJNeDWOlzmgYhrJ2gv95HGgQ==" saltValue="k8IZJyuJPNGBVDyQeZ6oEg==" spinCount="100000" sheet="1" objects="1" scenarios="1"/>
  <mergeCells count="20">
    <mergeCell ref="C14:F14"/>
    <mergeCell ref="C6:F7"/>
    <mergeCell ref="C22:F22"/>
    <mergeCell ref="C11:F11"/>
    <mergeCell ref="C8:F8"/>
    <mergeCell ref="C15:F15"/>
    <mergeCell ref="C16:F16"/>
    <mergeCell ref="C13:F13"/>
    <mergeCell ref="C17:F17"/>
    <mergeCell ref="C18:F18"/>
    <mergeCell ref="C19:F19"/>
    <mergeCell ref="C20:F20"/>
    <mergeCell ref="C28:F28"/>
    <mergeCell ref="C29:F29"/>
    <mergeCell ref="C21:F21"/>
    <mergeCell ref="C24:F24"/>
    <mergeCell ref="C25:F25"/>
    <mergeCell ref="C27:F27"/>
    <mergeCell ref="C26:F26"/>
    <mergeCell ref="C23:F23"/>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55</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8" t="s">
        <v>142</v>
      </c>
      <c r="C8" s="99"/>
      <c r="D8" s="100"/>
      <c r="E8" s="1"/>
    </row>
    <row r="9" spans="1:5" ht="15" customHeight="1" x14ac:dyDescent="0.25">
      <c r="A9" s="1"/>
      <c r="B9" s="51" t="s">
        <v>27</v>
      </c>
      <c r="C9" s="45" t="s">
        <v>145</v>
      </c>
      <c r="D9" s="11"/>
      <c r="E9" s="1"/>
    </row>
    <row r="10" spans="1:5" ht="15" customHeight="1" x14ac:dyDescent="0.25">
      <c r="A10" s="1"/>
      <c r="B10" s="64" t="s">
        <v>199</v>
      </c>
      <c r="C10" s="65">
        <v>12757715</v>
      </c>
      <c r="D10" s="14" t="s">
        <v>3</v>
      </c>
      <c r="E10" s="1"/>
    </row>
    <row r="11" spans="1:5" x14ac:dyDescent="0.25">
      <c r="A11" s="1"/>
      <c r="B11" s="64" t="s">
        <v>200</v>
      </c>
      <c r="C11" s="65">
        <v>87920</v>
      </c>
      <c r="D11" s="14" t="s">
        <v>3</v>
      </c>
      <c r="E11" s="1"/>
    </row>
    <row r="12" spans="1:5" ht="25.5" x14ac:dyDescent="0.25">
      <c r="A12" s="1"/>
      <c r="B12" s="64" t="s">
        <v>201</v>
      </c>
      <c r="C12" s="65">
        <v>7496024</v>
      </c>
      <c r="D12" s="14" t="s">
        <v>3</v>
      </c>
      <c r="E12" s="1"/>
    </row>
    <row r="13" spans="1:5" x14ac:dyDescent="0.25">
      <c r="A13" s="1"/>
      <c r="B13" s="64" t="s">
        <v>202</v>
      </c>
      <c r="C13" s="65">
        <v>10960</v>
      </c>
      <c r="D13" s="14" t="s">
        <v>3</v>
      </c>
      <c r="E13" s="1"/>
    </row>
    <row r="14" spans="1:5" x14ac:dyDescent="0.25">
      <c r="A14" s="1"/>
      <c r="B14" s="64" t="s">
        <v>203</v>
      </c>
      <c r="C14" s="65">
        <v>390742</v>
      </c>
      <c r="D14" s="14" t="s">
        <v>3</v>
      </c>
      <c r="E14" s="1"/>
    </row>
    <row r="15" spans="1:5" x14ac:dyDescent="0.25">
      <c r="A15" s="1"/>
      <c r="B15" s="64" t="s">
        <v>204</v>
      </c>
      <c r="C15" s="65">
        <v>3341</v>
      </c>
      <c r="D15" s="14" t="s">
        <v>3</v>
      </c>
      <c r="E15" s="1"/>
    </row>
    <row r="16" spans="1:5" x14ac:dyDescent="0.25">
      <c r="A16" s="1"/>
      <c r="B16" s="64"/>
      <c r="C16" s="65"/>
      <c r="D16" s="14" t="s">
        <v>3</v>
      </c>
      <c r="E16" s="1"/>
    </row>
    <row r="17" spans="1:5" x14ac:dyDescent="0.25">
      <c r="A17" s="1"/>
      <c r="B17" s="64"/>
      <c r="C17" s="65"/>
      <c r="D17" s="14" t="s">
        <v>3</v>
      </c>
      <c r="E17" s="1"/>
    </row>
    <row r="18" spans="1:5" x14ac:dyDescent="0.25">
      <c r="A18" s="1"/>
      <c r="B18" s="64"/>
      <c r="C18" s="65"/>
      <c r="D18" s="14" t="s">
        <v>3</v>
      </c>
      <c r="E18" s="1"/>
    </row>
    <row r="19" spans="1:5" x14ac:dyDescent="0.25">
      <c r="A19" s="1"/>
      <c r="B19" s="52" t="s">
        <v>143</v>
      </c>
      <c r="C19" s="12">
        <f>SUM(C10:C18)</f>
        <v>20746702</v>
      </c>
      <c r="D19" s="13" t="s">
        <v>3</v>
      </c>
      <c r="E19" s="1"/>
    </row>
    <row r="20" spans="1:5" x14ac:dyDescent="0.25">
      <c r="A20" s="1"/>
      <c r="B20" s="52" t="s">
        <v>144</v>
      </c>
      <c r="C20" s="12">
        <f>C19*(1+'Fane 13. Nøgletal'!C11)^2</f>
        <v>23588910.755714379</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94u8VNKzvCnN23nkF7TZbRxzb1hUTy5OKGh8ZEGTnNtnTm/T4zhpf5WcAdZFjB+OWtJOW9zpWNDUy/JFV6fD4w==" saltValue="atU945wYJCxiz435EMiXk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6" t="s">
        <v>172</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7"/>
      <c r="C6" s="67"/>
      <c r="D6" s="67"/>
      <c r="E6" s="1"/>
    </row>
    <row r="7" spans="1:5" x14ac:dyDescent="0.25">
      <c r="A7" s="1"/>
      <c r="B7" s="1"/>
      <c r="C7" s="1"/>
      <c r="D7" s="1"/>
      <c r="E7" s="1"/>
    </row>
    <row r="8" spans="1:5" x14ac:dyDescent="0.25">
      <c r="A8" s="1"/>
      <c r="B8" s="98" t="s">
        <v>175</v>
      </c>
      <c r="C8" s="99"/>
      <c r="D8" s="100"/>
      <c r="E8" s="1"/>
    </row>
    <row r="9" spans="1:5" x14ac:dyDescent="0.25">
      <c r="A9" s="1"/>
      <c r="B9" s="56" t="s">
        <v>176</v>
      </c>
      <c r="C9" s="9">
        <v>1021602.0609182231</v>
      </c>
      <c r="D9" s="39" t="s">
        <v>3</v>
      </c>
      <c r="E9" s="1"/>
    </row>
    <row r="10" spans="1:5" x14ac:dyDescent="0.25">
      <c r="A10" s="1"/>
      <c r="B10" s="56" t="s">
        <v>174</v>
      </c>
      <c r="C10" s="9">
        <v>-6542339.5358545855</v>
      </c>
      <c r="D10" s="14" t="s">
        <v>3</v>
      </c>
      <c r="E10" s="1"/>
    </row>
    <row r="11" spans="1:5" x14ac:dyDescent="0.25">
      <c r="A11" s="1"/>
      <c r="B11" s="52"/>
      <c r="C11" s="53"/>
      <c r="D11" s="19"/>
      <c r="E11" s="1"/>
    </row>
    <row r="12" spans="1:5" ht="53.85" customHeight="1" x14ac:dyDescent="0.25">
      <c r="A12" s="1"/>
      <c r="B12" s="107" t="s">
        <v>173</v>
      </c>
      <c r="C12" s="108"/>
      <c r="D12" s="109"/>
      <c r="E12" s="1"/>
    </row>
    <row r="13" spans="1:5" x14ac:dyDescent="0.25">
      <c r="A13" s="1"/>
      <c r="B13" s="1"/>
      <c r="C13" s="1"/>
      <c r="D13" s="1"/>
      <c r="E13" s="1"/>
    </row>
    <row r="14" spans="1:5" x14ac:dyDescent="0.25">
      <c r="A14" s="1"/>
      <c r="B14" s="68" t="s">
        <v>177</v>
      </c>
      <c r="C14" s="69"/>
      <c r="D14" s="70"/>
      <c r="E14" s="1"/>
    </row>
    <row r="15" spans="1:5" x14ac:dyDescent="0.25">
      <c r="A15" s="1"/>
      <c r="B15" s="56" t="s">
        <v>178</v>
      </c>
      <c r="C15" s="9">
        <f>IF(C10&lt;0,C10,0)</f>
        <v>-6542339.5358545855</v>
      </c>
      <c r="D15" s="14" t="s">
        <v>3</v>
      </c>
      <c r="E15" s="1"/>
    </row>
    <row r="16" spans="1:5" x14ac:dyDescent="0.25">
      <c r="A16" s="1"/>
      <c r="B16" s="56" t="s">
        <v>185</v>
      </c>
      <c r="C16" s="9">
        <f>IF(SUM(C9)&gt;0,SUM(C9),0)</f>
        <v>1021602.0609182231</v>
      </c>
      <c r="D16" s="14" t="s">
        <v>3</v>
      </c>
      <c r="E16" s="1"/>
    </row>
    <row r="17" spans="1:5" ht="26.25" x14ac:dyDescent="0.25">
      <c r="A17" s="1"/>
      <c r="B17" s="71" t="s">
        <v>179</v>
      </c>
      <c r="C17" s="62">
        <f>IF(SUM(C15:C16)&gt;0,0,SUM(C15:C16))</f>
        <v>-5520737.4749363624</v>
      </c>
      <c r="D17" s="17" t="s">
        <v>3</v>
      </c>
      <c r="E17" s="1"/>
    </row>
    <row r="18" spans="1:5" x14ac:dyDescent="0.25">
      <c r="A18" s="1"/>
      <c r="B18" s="52"/>
      <c r="C18" s="53"/>
      <c r="D18" s="19"/>
      <c r="E18" s="1"/>
    </row>
    <row r="19" spans="1:5" x14ac:dyDescent="0.25">
      <c r="A19" s="1"/>
      <c r="B19" s="1"/>
      <c r="C19" s="1"/>
      <c r="D19" s="1"/>
      <c r="E19" s="1"/>
    </row>
    <row r="20" spans="1:5" x14ac:dyDescent="0.25">
      <c r="A20" s="1"/>
      <c r="B20" s="68" t="s">
        <v>180</v>
      </c>
      <c r="C20" s="69"/>
      <c r="D20" s="70"/>
      <c r="E20" s="1"/>
    </row>
    <row r="21" spans="1:5" x14ac:dyDescent="0.25">
      <c r="A21" s="1"/>
      <c r="B21" s="56" t="s">
        <v>181</v>
      </c>
      <c r="C21" s="9">
        <v>35889350.876293935</v>
      </c>
      <c r="D21" s="14" t="s">
        <v>3</v>
      </c>
      <c r="E21" s="1"/>
    </row>
    <row r="22" spans="1:5" x14ac:dyDescent="0.25">
      <c r="A22" s="1"/>
      <c r="B22" s="56" t="s">
        <v>182</v>
      </c>
      <c r="C22" s="9">
        <v>36572126</v>
      </c>
      <c r="D22" s="14" t="s">
        <v>3</v>
      </c>
      <c r="E22" s="1"/>
    </row>
    <row r="23" spans="1:5" x14ac:dyDescent="0.25">
      <c r="A23" s="1"/>
      <c r="B23" s="56" t="s">
        <v>28</v>
      </c>
      <c r="C23" s="9">
        <v>0</v>
      </c>
      <c r="D23" s="14" t="s">
        <v>3</v>
      </c>
      <c r="E23" s="1"/>
    </row>
    <row r="24" spans="1:5" x14ac:dyDescent="0.25">
      <c r="A24" s="1"/>
      <c r="B24" s="73" t="s">
        <v>183</v>
      </c>
      <c r="C24" s="46">
        <f>C21-C22-C23</f>
        <v>-682775.12370606512</v>
      </c>
      <c r="D24" s="17" t="s">
        <v>3</v>
      </c>
      <c r="E24" s="1"/>
    </row>
    <row r="25" spans="1:5" x14ac:dyDescent="0.25">
      <c r="A25" s="1"/>
      <c r="B25" s="52"/>
      <c r="C25" s="53"/>
      <c r="D25" s="19"/>
      <c r="E25" s="1"/>
    </row>
    <row r="26" spans="1:5" x14ac:dyDescent="0.25">
      <c r="A26" s="1"/>
      <c r="B26" s="1"/>
      <c r="C26" s="1"/>
      <c r="D26" s="1"/>
      <c r="E26" s="1"/>
    </row>
    <row r="27" spans="1:5" x14ac:dyDescent="0.25">
      <c r="A27" s="1"/>
      <c r="B27" s="98" t="s">
        <v>184</v>
      </c>
      <c r="C27" s="99"/>
      <c r="D27" s="100"/>
      <c r="E27" s="1"/>
    </row>
    <row r="28" spans="1:5" x14ac:dyDescent="0.25">
      <c r="A28" s="1"/>
      <c r="B28" s="57" t="s">
        <v>65</v>
      </c>
      <c r="C28" s="9">
        <f>IF(C17&lt;0,IF(C24&lt;0,SUM(C17,C24),IF(C9&gt;0,SUM(C9:C10),C17)),IF(AND(C24&lt;0,SUM(C24,C10)&lt;0),IF(C10&lt;0,C24,IF(SUM(C9:C10)&gt;0,SUM(C24,C10),IF(AND(C24&lt;0,C17=0,C10&gt;0),IF(SUM(C9:C10)&gt;0,C24+C10,C24)))),IF(AND(SUM(C9:C10)&lt;0,C17=0,C24&lt;0),C24,0)))</f>
        <v>-6203512.5986424275</v>
      </c>
      <c r="D28" s="14" t="s">
        <v>3</v>
      </c>
      <c r="E28" s="1"/>
    </row>
    <row r="29" spans="1:5" x14ac:dyDescent="0.25">
      <c r="A29" s="1"/>
      <c r="B29" s="57" t="s">
        <v>48</v>
      </c>
      <c r="C29" s="9">
        <v>2</v>
      </c>
      <c r="D29" s="14" t="s">
        <v>18</v>
      </c>
      <c r="E29" s="1"/>
    </row>
    <row r="30" spans="1:5" x14ac:dyDescent="0.25">
      <c r="A30" s="1"/>
      <c r="B30" s="58" t="s">
        <v>64</v>
      </c>
      <c r="C30" s="10">
        <f>C28/C29</f>
        <v>-3101756.2993212137</v>
      </c>
      <c r="D30" s="17" t="s">
        <v>3</v>
      </c>
      <c r="E30" s="1"/>
    </row>
    <row r="31" spans="1:5" x14ac:dyDescent="0.25">
      <c r="A31" s="1"/>
      <c r="B31" s="110"/>
      <c r="C31" s="111"/>
      <c r="D31" s="112"/>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ujERgFI6sTA1DSxBRF1U5R8oHKqaTmMVxFBamUtySP8sV/Y8uLk4mIv9tizbfA5ypPN2aTS1PMDIfPCLR0czg==" saltValue="kswCYlmZxuQV/dDpb/HQ0g=="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6" t="s">
        <v>96</v>
      </c>
      <c r="C3" s="96"/>
      <c r="D3" s="96"/>
      <c r="E3" s="1"/>
    </row>
    <row r="4" spans="1:5" ht="15" customHeight="1" x14ac:dyDescent="0.25">
      <c r="A4" s="1"/>
      <c r="B4" s="96"/>
      <c r="C4" s="96"/>
      <c r="D4" s="96"/>
      <c r="E4" s="1"/>
    </row>
    <row r="5" spans="1:5" x14ac:dyDescent="0.25">
      <c r="A5" s="1"/>
      <c r="B5" s="96"/>
      <c r="C5" s="96"/>
      <c r="D5" s="96"/>
      <c r="E5" s="1"/>
    </row>
    <row r="6" spans="1:5" x14ac:dyDescent="0.25">
      <c r="A6" s="1"/>
      <c r="B6" s="1"/>
      <c r="C6" s="1"/>
      <c r="D6" s="1"/>
      <c r="E6" s="1"/>
    </row>
    <row r="7" spans="1:5" x14ac:dyDescent="0.25">
      <c r="A7" s="1"/>
      <c r="B7" s="1"/>
      <c r="C7" s="1"/>
      <c r="D7" s="1"/>
      <c r="E7" s="1"/>
    </row>
    <row r="8" spans="1:5" x14ac:dyDescent="0.25">
      <c r="A8" s="1"/>
      <c r="B8" s="98" t="s">
        <v>97</v>
      </c>
      <c r="C8" s="99"/>
      <c r="D8" s="100"/>
      <c r="E8" s="1"/>
    </row>
    <row r="9" spans="1:5" ht="15" customHeight="1" x14ac:dyDescent="0.25">
      <c r="A9" s="1"/>
      <c r="B9" s="113" t="s">
        <v>123</v>
      </c>
      <c r="C9" s="114"/>
      <c r="D9" s="115"/>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8"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x3zwdlSyNPiVGB9LCJ00vw/SoY+KIi5CjIDb2siMXK4CrPt06L16miQUOdPEZUQLNkB0Bsdd0AawAGkr7OhPSw==" saltValue="oEMeFilIwTzsCAXJUUIpwA=="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90</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74</v>
      </c>
      <c r="C8" s="99"/>
      <c r="D8" s="99"/>
      <c r="E8" s="99"/>
      <c r="F8" s="99"/>
      <c r="G8" s="99"/>
      <c r="H8" s="99"/>
      <c r="I8" s="99"/>
      <c r="J8" s="99"/>
      <c r="K8" s="100"/>
      <c r="L8" s="1"/>
    </row>
    <row r="9" spans="1:12" ht="39.75" customHeight="1" x14ac:dyDescent="0.25">
      <c r="A9" s="1"/>
      <c r="B9" s="18" t="s">
        <v>0</v>
      </c>
      <c r="C9" s="18" t="s">
        <v>1</v>
      </c>
      <c r="D9" s="116" t="s">
        <v>83</v>
      </c>
      <c r="E9" s="117"/>
      <c r="F9" s="116" t="s">
        <v>2</v>
      </c>
      <c r="G9" s="117"/>
      <c r="H9" s="116" t="s">
        <v>84</v>
      </c>
      <c r="I9" s="117"/>
      <c r="J9" s="116" t="s">
        <v>25</v>
      </c>
      <c r="K9" s="117"/>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0"/>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eufhq47DCz5aXvaTiGYz5/EemtDyxMWK9pvm4/OXJN0a/qRZCPwekyLkGENRHMY1EmkWaKUwEPSax9qEx7iPDg==" saltValue="mRPnWGlhnCB/jpyFT+rcP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6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91</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1" t="s">
        <v>15</v>
      </c>
      <c r="C9" s="73" t="s">
        <v>10</v>
      </c>
      <c r="D9" s="72"/>
      <c r="E9" s="73"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205</v>
      </c>
      <c r="C11" s="21">
        <v>1054642</v>
      </c>
      <c r="D11" s="14" t="s">
        <v>3</v>
      </c>
      <c r="E11" s="9">
        <v>291000</v>
      </c>
      <c r="F11" s="14" t="s">
        <v>3</v>
      </c>
      <c r="G11" s="1"/>
    </row>
    <row r="12" spans="1:7" x14ac:dyDescent="0.25">
      <c r="A12" s="1"/>
      <c r="B12" s="26" t="s">
        <v>206</v>
      </c>
      <c r="C12" s="21">
        <v>0</v>
      </c>
      <c r="D12" s="14" t="s">
        <v>3</v>
      </c>
      <c r="E12" s="9">
        <v>1010</v>
      </c>
      <c r="F12" s="14" t="s">
        <v>3</v>
      </c>
      <c r="G12" s="1"/>
    </row>
    <row r="13" spans="1:7" x14ac:dyDescent="0.25">
      <c r="A13" s="1"/>
      <c r="B13" s="26" t="s">
        <v>207</v>
      </c>
      <c r="C13" s="21">
        <v>8887</v>
      </c>
      <c r="D13" s="14" t="s">
        <v>3</v>
      </c>
      <c r="E13" s="9">
        <v>3935</v>
      </c>
      <c r="F13" s="14" t="s">
        <v>3</v>
      </c>
      <c r="G13" s="1"/>
    </row>
    <row r="14" spans="1:7" x14ac:dyDescent="0.25">
      <c r="A14" s="1"/>
      <c r="B14" s="26" t="s">
        <v>208</v>
      </c>
      <c r="C14" s="21">
        <v>1942</v>
      </c>
      <c r="D14" s="14" t="s">
        <v>3</v>
      </c>
      <c r="E14" s="9">
        <v>855</v>
      </c>
      <c r="F14" s="14" t="s">
        <v>3</v>
      </c>
      <c r="G14" s="1"/>
    </row>
    <row r="15" spans="1:7" x14ac:dyDescent="0.25">
      <c r="A15" s="1"/>
      <c r="B15" s="26" t="s">
        <v>209</v>
      </c>
      <c r="C15" s="21">
        <v>0</v>
      </c>
      <c r="D15" s="14" t="s">
        <v>3</v>
      </c>
      <c r="E15" s="9">
        <v>1475</v>
      </c>
      <c r="F15" s="14" t="s">
        <v>3</v>
      </c>
      <c r="G15" s="1"/>
    </row>
    <row r="16" spans="1:7" x14ac:dyDescent="0.25">
      <c r="A16" s="1"/>
      <c r="B16" s="26" t="s">
        <v>210</v>
      </c>
      <c r="C16" s="21">
        <v>25764</v>
      </c>
      <c r="D16" s="14" t="s">
        <v>3</v>
      </c>
      <c r="E16" s="9">
        <v>3001</v>
      </c>
      <c r="F16" s="14" t="s">
        <v>3</v>
      </c>
      <c r="G16" s="1"/>
    </row>
    <row r="17" spans="1:7" x14ac:dyDescent="0.25">
      <c r="A17" s="1"/>
      <c r="B17" s="26" t="s">
        <v>211</v>
      </c>
      <c r="C17" s="21">
        <v>136839</v>
      </c>
      <c r="D17" s="14" t="s">
        <v>3</v>
      </c>
      <c r="E17" s="9">
        <v>48665</v>
      </c>
      <c r="F17" s="14" t="s">
        <v>3</v>
      </c>
      <c r="G17" s="1"/>
    </row>
    <row r="18" spans="1:7" x14ac:dyDescent="0.25">
      <c r="A18" s="1"/>
      <c r="B18" s="26" t="s">
        <v>212</v>
      </c>
      <c r="C18" s="21">
        <v>0</v>
      </c>
      <c r="D18" s="14" t="s">
        <v>3</v>
      </c>
      <c r="E18" s="9">
        <v>2221</v>
      </c>
      <c r="F18" s="14" t="s">
        <v>3</v>
      </c>
      <c r="G18" s="1"/>
    </row>
    <row r="19" spans="1:7" x14ac:dyDescent="0.25">
      <c r="A19" s="1"/>
      <c r="B19" s="26" t="s">
        <v>213</v>
      </c>
      <c r="C19" s="21">
        <v>3594</v>
      </c>
      <c r="D19" s="14" t="s">
        <v>3</v>
      </c>
      <c r="E19" s="9">
        <v>3381</v>
      </c>
      <c r="F19" s="14" t="s">
        <v>3</v>
      </c>
      <c r="G19" s="1"/>
    </row>
    <row r="20" spans="1:7" x14ac:dyDescent="0.25">
      <c r="A20" s="1"/>
      <c r="B20" s="26" t="s">
        <v>214</v>
      </c>
      <c r="C20" s="21">
        <v>0</v>
      </c>
      <c r="D20" s="14" t="s">
        <v>3</v>
      </c>
      <c r="E20" s="9">
        <v>28</v>
      </c>
      <c r="F20" s="14" t="s">
        <v>3</v>
      </c>
      <c r="G20" s="1"/>
    </row>
    <row r="21" spans="1:7" x14ac:dyDescent="0.25">
      <c r="A21" s="1"/>
      <c r="B21" s="26" t="s">
        <v>215</v>
      </c>
      <c r="C21" s="21">
        <v>0</v>
      </c>
      <c r="D21" s="14" t="s">
        <v>3</v>
      </c>
      <c r="E21" s="9">
        <v>383</v>
      </c>
      <c r="F21" s="14" t="s">
        <v>3</v>
      </c>
      <c r="G21" s="1"/>
    </row>
    <row r="22" spans="1:7" x14ac:dyDescent="0.25">
      <c r="A22" s="1"/>
      <c r="B22" s="26" t="s">
        <v>216</v>
      </c>
      <c r="C22" s="21">
        <v>11042</v>
      </c>
      <c r="D22" s="14" t="s">
        <v>3</v>
      </c>
      <c r="E22" s="9">
        <v>9253</v>
      </c>
      <c r="F22" s="14" t="s">
        <v>3</v>
      </c>
      <c r="G22" s="1"/>
    </row>
    <row r="23" spans="1:7" ht="26.25" x14ac:dyDescent="0.25">
      <c r="A23" s="1"/>
      <c r="B23" s="59" t="s">
        <v>217</v>
      </c>
      <c r="C23" s="21">
        <v>4932</v>
      </c>
      <c r="D23" s="14" t="s">
        <v>3</v>
      </c>
      <c r="E23" s="9">
        <v>1721</v>
      </c>
      <c r="F23" s="14" t="s">
        <v>3</v>
      </c>
      <c r="G23" s="1"/>
    </row>
    <row r="24" spans="1:7" x14ac:dyDescent="0.25">
      <c r="A24" s="1"/>
      <c r="B24" s="52" t="s">
        <v>112</v>
      </c>
      <c r="C24" s="12">
        <f>SUM(C10:C23)</f>
        <v>1247642</v>
      </c>
      <c r="D24" s="13" t="s">
        <v>3</v>
      </c>
      <c r="E24" s="12">
        <f>SUM(E10:E23)</f>
        <v>366928</v>
      </c>
      <c r="F24" s="13" t="s">
        <v>3</v>
      </c>
      <c r="G24" s="1"/>
    </row>
    <row r="25" spans="1:7" x14ac:dyDescent="0.25">
      <c r="A25" s="1"/>
      <c r="B25" s="52" t="s">
        <v>147</v>
      </c>
      <c r="C25" s="12">
        <f>C24*(1+'Fane 13. Nøgletal'!C11)</f>
        <v>1330360.6646</v>
      </c>
      <c r="D25" s="13" t="s">
        <v>3</v>
      </c>
      <c r="E25" s="12">
        <f>E24*(1+'Fane 13. Nøgletal'!C11)</f>
        <v>391255.32640000002</v>
      </c>
      <c r="F25" s="13" t="s">
        <v>3</v>
      </c>
      <c r="G25" s="1"/>
    </row>
    <row r="26" spans="1:7" x14ac:dyDescent="0.25">
      <c r="A26" s="1"/>
      <c r="B26" s="1"/>
      <c r="C26" s="1" t="s">
        <v>82</v>
      </c>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A56" s="1"/>
      <c r="B56" s="1"/>
      <c r="C56" s="1"/>
      <c r="D56" s="1"/>
      <c r="E56" s="1"/>
      <c r="F56" s="1"/>
      <c r="G56" s="1"/>
    </row>
    <row r="57" spans="1:7" x14ac:dyDescent="0.25">
      <c r="A57" s="1"/>
      <c r="B57" s="1"/>
      <c r="C57" s="1"/>
      <c r="D57" s="1"/>
      <c r="E57" s="1"/>
      <c r="F57" s="1"/>
      <c r="G57" s="1"/>
    </row>
    <row r="58" spans="1:7" hidden="1" x14ac:dyDescent="0.25">
      <c r="A58" s="40"/>
      <c r="B58" s="40"/>
      <c r="C58" s="40"/>
      <c r="D58" s="40"/>
      <c r="E58" s="40"/>
      <c r="F58" s="40"/>
      <c r="G58" s="40"/>
    </row>
    <row r="59" spans="1:7" hidden="1" x14ac:dyDescent="0.25">
      <c r="A59" s="40"/>
      <c r="B59" s="40"/>
      <c r="C59" s="40"/>
      <c r="D59" s="40"/>
      <c r="E59" s="40"/>
      <c r="F59" s="40"/>
      <c r="G59" s="40"/>
    </row>
    <row r="60" spans="1:7" hidden="1" x14ac:dyDescent="0.25">
      <c r="A60" s="40"/>
      <c r="B60" s="40"/>
      <c r="C60" s="40"/>
      <c r="D60" s="40"/>
      <c r="E60" s="40"/>
      <c r="F60" s="40"/>
      <c r="G60" s="40"/>
    </row>
    <row r="61" spans="1:7" hidden="1" x14ac:dyDescent="0.25">
      <c r="A61" s="40"/>
      <c r="B61" s="40"/>
      <c r="C61" s="40"/>
      <c r="D61" s="40"/>
      <c r="E61" s="40"/>
      <c r="F61" s="40"/>
      <c r="G61" s="40"/>
    </row>
    <row r="62" spans="1:7" hidden="1" x14ac:dyDescent="0.25">
      <c r="A62" s="40"/>
      <c r="B62" s="40"/>
      <c r="C62" s="40"/>
      <c r="D62" s="40"/>
      <c r="E62" s="40"/>
      <c r="F62" s="40"/>
      <c r="G62" s="40"/>
    </row>
    <row r="63" spans="1:7" hidden="1" x14ac:dyDescent="0.25">
      <c r="A63" s="40"/>
      <c r="B63" s="40"/>
      <c r="C63" s="40"/>
      <c r="D63" s="40"/>
      <c r="E63" s="40"/>
      <c r="F63" s="40"/>
      <c r="G63" s="40"/>
    </row>
    <row r="64" spans="1:7" hidden="1" x14ac:dyDescent="0.25">
      <c r="A64" s="40"/>
      <c r="B64" s="40"/>
      <c r="C64" s="40"/>
      <c r="D64" s="40"/>
      <c r="E64" s="40"/>
      <c r="F64" s="40"/>
      <c r="G64" s="40"/>
    </row>
  </sheetData>
  <sheetProtection algorithmName="SHA-512" hashValue="sF6SpAloZ1qdEJ6Ay4f620WhQz5l8DEALtNR9jt/wDzn4ThK7lls/RGtzmr5YRm9XqrCd6VKoyHeQxqeaDZIww==" saltValue="dGgekxa9124tJtn5E8yXT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6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92</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150</v>
      </c>
      <c r="C8" s="99"/>
      <c r="D8" s="99"/>
      <c r="E8" s="99"/>
      <c r="F8" s="100"/>
      <c r="G8" s="1"/>
    </row>
    <row r="9" spans="1:7" x14ac:dyDescent="0.25">
      <c r="A9" s="1"/>
      <c r="B9" s="71" t="s">
        <v>15</v>
      </c>
      <c r="C9" s="73" t="s">
        <v>10</v>
      </c>
      <c r="D9" s="74"/>
      <c r="E9" s="73" t="s">
        <v>26</v>
      </c>
      <c r="F9" s="27"/>
      <c r="G9" s="1"/>
    </row>
    <row r="10" spans="1:7" x14ac:dyDescent="0.25">
      <c r="A10" s="1"/>
      <c r="B10" s="23" t="s">
        <v>206</v>
      </c>
      <c r="C10" s="21">
        <v>0</v>
      </c>
      <c r="D10" s="14" t="s">
        <v>3</v>
      </c>
      <c r="E10" s="9">
        <v>811</v>
      </c>
      <c r="F10" s="14" t="s">
        <v>3</v>
      </c>
      <c r="G10" s="1"/>
    </row>
    <row r="11" spans="1:7" x14ac:dyDescent="0.25">
      <c r="A11" s="1"/>
      <c r="B11" s="23" t="s">
        <v>207</v>
      </c>
      <c r="C11" s="21">
        <v>0</v>
      </c>
      <c r="D11" s="14" t="s">
        <v>3</v>
      </c>
      <c r="E11" s="9">
        <v>3156</v>
      </c>
      <c r="F11" s="14" t="s">
        <v>3</v>
      </c>
      <c r="G11" s="1"/>
    </row>
    <row r="12" spans="1:7" x14ac:dyDescent="0.25">
      <c r="A12" s="1"/>
      <c r="B12" s="23" t="s">
        <v>208</v>
      </c>
      <c r="C12" s="21">
        <v>0</v>
      </c>
      <c r="D12" s="14" t="s">
        <v>3</v>
      </c>
      <c r="E12" s="9">
        <v>686</v>
      </c>
      <c r="F12" s="14" t="s">
        <v>3</v>
      </c>
      <c r="G12" s="1"/>
    </row>
    <row r="13" spans="1:7" x14ac:dyDescent="0.25">
      <c r="A13" s="1"/>
      <c r="B13" s="23" t="s">
        <v>209</v>
      </c>
      <c r="C13" s="21">
        <v>0</v>
      </c>
      <c r="D13" s="14" t="s">
        <v>3</v>
      </c>
      <c r="E13" s="9">
        <v>1183</v>
      </c>
      <c r="F13" s="14" t="s">
        <v>3</v>
      </c>
      <c r="G13" s="1"/>
    </row>
    <row r="14" spans="1:7" x14ac:dyDescent="0.25">
      <c r="A14" s="1"/>
      <c r="B14" s="23" t="s">
        <v>210</v>
      </c>
      <c r="C14" s="21">
        <v>0</v>
      </c>
      <c r="D14" s="14" t="s">
        <v>3</v>
      </c>
      <c r="E14" s="9">
        <v>2407</v>
      </c>
      <c r="F14" s="14" t="s">
        <v>3</v>
      </c>
      <c r="G14" s="1"/>
    </row>
    <row r="15" spans="1:7" x14ac:dyDescent="0.25">
      <c r="A15" s="1"/>
      <c r="B15" s="23" t="s">
        <v>211</v>
      </c>
      <c r="C15" s="21">
        <v>0</v>
      </c>
      <c r="D15" s="14" t="s">
        <v>3</v>
      </c>
      <c r="E15" s="9">
        <v>39036</v>
      </c>
      <c r="F15" s="14" t="s">
        <v>3</v>
      </c>
      <c r="G15" s="1"/>
    </row>
    <row r="16" spans="1:7" x14ac:dyDescent="0.25">
      <c r="A16" s="1"/>
      <c r="B16" s="23" t="s">
        <v>212</v>
      </c>
      <c r="C16" s="21">
        <v>0</v>
      </c>
      <c r="D16" s="14" t="s">
        <v>3</v>
      </c>
      <c r="E16" s="9">
        <v>1782</v>
      </c>
      <c r="F16" s="14" t="s">
        <v>3</v>
      </c>
      <c r="G16" s="1"/>
    </row>
    <row r="17" spans="1:7" x14ac:dyDescent="0.25">
      <c r="A17" s="1"/>
      <c r="B17" s="23" t="s">
        <v>213</v>
      </c>
      <c r="C17" s="21">
        <v>0</v>
      </c>
      <c r="D17" s="14" t="s">
        <v>3</v>
      </c>
      <c r="E17" s="9">
        <v>2712</v>
      </c>
      <c r="F17" s="14" t="s">
        <v>3</v>
      </c>
      <c r="G17" s="1"/>
    </row>
    <row r="18" spans="1:7" x14ac:dyDescent="0.25">
      <c r="A18" s="1"/>
      <c r="B18" s="23" t="s">
        <v>214</v>
      </c>
      <c r="C18" s="21">
        <v>0</v>
      </c>
      <c r="D18" s="14" t="s">
        <v>3</v>
      </c>
      <c r="E18" s="9">
        <v>22</v>
      </c>
      <c r="F18" s="14" t="s">
        <v>3</v>
      </c>
      <c r="G18" s="1"/>
    </row>
    <row r="19" spans="1:7" x14ac:dyDescent="0.25">
      <c r="A19" s="1"/>
      <c r="B19" s="23" t="s">
        <v>215</v>
      </c>
      <c r="C19" s="21">
        <v>0</v>
      </c>
      <c r="D19" s="14" t="s">
        <v>3</v>
      </c>
      <c r="E19" s="9">
        <v>307</v>
      </c>
      <c r="F19" s="14" t="s">
        <v>3</v>
      </c>
      <c r="G19" s="1"/>
    </row>
    <row r="20" spans="1:7" x14ac:dyDescent="0.25">
      <c r="A20" s="1"/>
      <c r="B20" s="23" t="s">
        <v>216</v>
      </c>
      <c r="C20" s="21">
        <v>0</v>
      </c>
      <c r="D20" s="14" t="s">
        <v>3</v>
      </c>
      <c r="E20" s="9">
        <v>7423</v>
      </c>
      <c r="F20" s="14" t="s">
        <v>3</v>
      </c>
      <c r="G20" s="1"/>
    </row>
    <row r="21" spans="1:7" x14ac:dyDescent="0.25">
      <c r="A21" s="1"/>
      <c r="B21" s="23"/>
      <c r="C21" s="21"/>
      <c r="D21" s="14" t="s">
        <v>3</v>
      </c>
      <c r="E21" s="9"/>
      <c r="F21" s="14" t="s">
        <v>3</v>
      </c>
      <c r="G21" s="1"/>
    </row>
    <row r="22" spans="1:7" x14ac:dyDescent="0.25">
      <c r="A22" s="1"/>
      <c r="B22" s="23"/>
      <c r="C22" s="21"/>
      <c r="D22" s="14" t="s">
        <v>3</v>
      </c>
      <c r="E22" s="9"/>
      <c r="F22" s="14" t="s">
        <v>3</v>
      </c>
      <c r="G22" s="1"/>
    </row>
    <row r="23" spans="1:7" x14ac:dyDescent="0.25">
      <c r="A23" s="1"/>
      <c r="B23" s="52" t="s">
        <v>148</v>
      </c>
      <c r="C23" s="12">
        <f>SUM(C10:C22)</f>
        <v>0</v>
      </c>
      <c r="D23" s="13" t="s">
        <v>3</v>
      </c>
      <c r="E23" s="12">
        <f>SUM(E10:E22)</f>
        <v>59525</v>
      </c>
      <c r="F23" s="13" t="s">
        <v>3</v>
      </c>
      <c r="G23" s="1"/>
    </row>
    <row r="24" spans="1:7" x14ac:dyDescent="0.25">
      <c r="A24" s="1"/>
      <c r="B24" s="52" t="s">
        <v>149</v>
      </c>
      <c r="C24" s="12">
        <f>C23*(1+'Fane 13. Nøgletal'!$C$11)^2</f>
        <v>0</v>
      </c>
      <c r="D24" s="13" t="s">
        <v>3</v>
      </c>
      <c r="E24" s="12">
        <f>E23*(1+'Fane 13. Nøgletal'!$C$11)^2</f>
        <v>67679.668447250006</v>
      </c>
      <c r="F24" s="13" t="s">
        <v>3</v>
      </c>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ht="18" customHeight="1"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1"/>
      <c r="B52" s="1"/>
      <c r="C52" s="1"/>
      <c r="D52" s="1"/>
      <c r="E52" s="1"/>
      <c r="F52" s="1"/>
      <c r="G52" s="1"/>
    </row>
    <row r="53" spans="1:7" x14ac:dyDescent="0.25">
      <c r="A53" s="1"/>
      <c r="B53" s="1"/>
      <c r="C53" s="1"/>
      <c r="D53" s="1"/>
      <c r="E53" s="1"/>
      <c r="F53" s="1"/>
      <c r="G53" s="1"/>
    </row>
    <row r="54" spans="1:7" x14ac:dyDescent="0.25">
      <c r="A54" s="1"/>
      <c r="B54" s="1"/>
      <c r="C54" s="1"/>
      <c r="D54" s="1"/>
      <c r="E54" s="1"/>
      <c r="F54" s="1"/>
      <c r="G54" s="1"/>
    </row>
    <row r="55" spans="1:7" x14ac:dyDescent="0.25">
      <c r="A55" s="1"/>
      <c r="B55" s="1"/>
      <c r="C55" s="1"/>
      <c r="D55" s="1"/>
      <c r="E55" s="1"/>
      <c r="F55" s="1"/>
      <c r="G55" s="1"/>
    </row>
    <row r="56" spans="1:7" x14ac:dyDescent="0.25">
      <c r="A56" s="1"/>
      <c r="B56" s="1"/>
      <c r="C56" s="1"/>
      <c r="D56" s="1"/>
      <c r="E56" s="1"/>
      <c r="F56" s="1"/>
      <c r="G56" s="1"/>
    </row>
    <row r="57" spans="1:7" x14ac:dyDescent="0.25">
      <c r="A57" s="1"/>
      <c r="B57" s="1"/>
      <c r="C57" s="1"/>
      <c r="D57" s="1"/>
      <c r="E57" s="1"/>
      <c r="F57" s="1"/>
      <c r="G57" s="1"/>
    </row>
    <row r="58" spans="1:7" x14ac:dyDescent="0.25">
      <c r="A58" s="1"/>
      <c r="B58" s="1"/>
      <c r="C58" s="1"/>
      <c r="D58" s="1"/>
      <c r="E58" s="1"/>
      <c r="F58" s="1"/>
      <c r="G58" s="1"/>
    </row>
    <row r="59" spans="1:7" x14ac:dyDescent="0.25">
      <c r="A59" s="1"/>
      <c r="B59" s="1"/>
      <c r="C59" s="1"/>
      <c r="D59" s="1"/>
      <c r="E59" s="1"/>
      <c r="F59" s="1"/>
      <c r="G59" s="1"/>
    </row>
    <row r="60" spans="1:7" x14ac:dyDescent="0.25">
      <c r="A60" s="1"/>
      <c r="B60" s="1"/>
      <c r="C60" s="1"/>
      <c r="D60" s="1"/>
      <c r="E60" s="1"/>
      <c r="F60" s="1"/>
      <c r="G60" s="1"/>
    </row>
  </sheetData>
  <sheetProtection algorithmName="SHA-512" hashValue="/gh2Qvls8Pj4va7FwInj+PHgwlN1o9gxmw+Ty76OXmFrYn/8/VeT+kgb4Q8A+okQy836c0U6LZ9bbihpWu7n2A==" saltValue="+nZaQyQomshHoF1pmZDiEg=="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93</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x14ac:dyDescent="0.25">
      <c r="A7" s="1"/>
      <c r="B7" s="1"/>
      <c r="C7" s="1"/>
      <c r="D7" s="1"/>
      <c r="E7" s="1"/>
      <c r="F7" s="1"/>
      <c r="G7" s="1"/>
    </row>
    <row r="8" spans="1:7" x14ac:dyDescent="0.25">
      <c r="A8" s="1"/>
      <c r="B8" s="98" t="s">
        <v>59</v>
      </c>
      <c r="C8" s="99"/>
      <c r="D8" s="99"/>
      <c r="E8" s="99"/>
      <c r="F8" s="100"/>
      <c r="G8" s="1"/>
    </row>
    <row r="9" spans="1:7" ht="15" customHeight="1" x14ac:dyDescent="0.25">
      <c r="A9" s="1"/>
      <c r="B9" s="54" t="s">
        <v>60</v>
      </c>
      <c r="C9" s="118" t="s">
        <v>10</v>
      </c>
      <c r="D9" s="119"/>
      <c r="E9" s="118" t="s">
        <v>26</v>
      </c>
      <c r="F9" s="119"/>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KZ1M5GZK0mEZOPfWJkWXcPkK4eRKOrKeJEqksiM6XIvnvIUkGD0kF4feP3VhLXOOTAyLZsRRtSyiPoXPEFpUTA==" saltValue="jqjvfcZPHbYL8NwmDd/TYQ=="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94</v>
      </c>
      <c r="C3" s="96"/>
      <c r="D3" s="96"/>
      <c r="E3" s="96"/>
      <c r="F3" s="96"/>
      <c r="G3" s="1"/>
    </row>
    <row r="4" spans="1:7" ht="15" customHeight="1" x14ac:dyDescent="0.25">
      <c r="A4" s="1"/>
      <c r="B4" s="96"/>
      <c r="C4" s="96"/>
      <c r="D4" s="96"/>
      <c r="E4" s="96"/>
      <c r="F4" s="96"/>
      <c r="G4" s="1"/>
    </row>
    <row r="5" spans="1:7" x14ac:dyDescent="0.25">
      <c r="A5" s="1"/>
      <c r="B5" s="96"/>
      <c r="C5" s="96"/>
      <c r="D5" s="96"/>
      <c r="E5" s="96"/>
      <c r="F5" s="96"/>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8" t="s">
        <v>152</v>
      </c>
      <c r="C8" s="99"/>
      <c r="D8" s="99"/>
      <c r="E8" s="99"/>
      <c r="F8" s="100"/>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65r/lc9DR1N9bN1W5M+WtY+kHBLBQTeJ3PK8KQivEPg5VBQSgecPRd0MZQ7xTUyTVAB+FGjB+Sg6mkLahcxLQ==" saltValue="7koLw2vIz0tNurzWgOr/3w=="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6" t="s">
        <v>95</v>
      </c>
      <c r="C3" s="96"/>
      <c r="D3" s="1"/>
    </row>
    <row r="4" spans="1:4" ht="15" customHeight="1" x14ac:dyDescent="0.25">
      <c r="A4" s="1"/>
      <c r="B4" s="96"/>
      <c r="C4" s="96"/>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196</v>
      </c>
      <c r="C11" s="49">
        <v>6.6299999999999998E-2</v>
      </c>
      <c r="D11" s="1"/>
    </row>
    <row r="12" spans="1:4" x14ac:dyDescent="0.25">
      <c r="A12" s="1"/>
      <c r="B12" s="98"/>
      <c r="C12" s="100"/>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197</v>
      </c>
      <c r="C18" s="63">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Cmdxn85F7DfnBHQXxmj8amh/noIQxyp0VDs9JU7diR6GRJ0pitgUhAJO7/p8G5AIVCo3uKkxN4BVsYPZiRzA7A==" saltValue="yUtrPgMlh5Pv73TG7tELlw=="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18139743.895276606</v>
      </c>
      <c r="D9" s="8" t="s">
        <v>3</v>
      </c>
      <c r="E9" s="1"/>
    </row>
    <row r="10" spans="1:5" ht="17.100000000000001" customHeight="1" x14ac:dyDescent="0.25">
      <c r="A10" s="1"/>
      <c r="B10" s="24" t="s">
        <v>32</v>
      </c>
      <c r="C10" s="7">
        <f>'Fane 10.1. Varige tillæg'!C25</f>
        <v>1330360.6646</v>
      </c>
      <c r="D10" s="8" t="s">
        <v>3</v>
      </c>
      <c r="E10" s="1"/>
    </row>
    <row r="11" spans="1:5" ht="17.100000000000001" customHeight="1" x14ac:dyDescent="0.25">
      <c r="A11" s="1"/>
      <c r="B11" s="24" t="s">
        <v>33</v>
      </c>
      <c r="C11" s="9">
        <f>'Fane 10.1. Varige tillæg'!E25</f>
        <v>391255.32640000002</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1316808.1604601389</v>
      </c>
      <c r="D16" s="8" t="s">
        <v>3</v>
      </c>
      <c r="E16" s="1"/>
    </row>
    <row r="17" spans="1:5" ht="17.100000000000001" customHeight="1" x14ac:dyDescent="0.25">
      <c r="A17" s="1"/>
      <c r="B17" s="24" t="s">
        <v>9</v>
      </c>
      <c r="C17" s="9">
        <f>-SUM(C9:C16)*'Fane 5. Individuelt eff. krav'!C9</f>
        <v>-597.61121298988849</v>
      </c>
      <c r="D17" s="8" t="s">
        <v>3</v>
      </c>
      <c r="E17" s="1"/>
    </row>
    <row r="18" spans="1:5" ht="17.100000000000001" customHeight="1" x14ac:dyDescent="0.25">
      <c r="A18" s="1"/>
      <c r="B18" s="24" t="s">
        <v>21</v>
      </c>
      <c r="C18" s="9">
        <f>-'Fane 4.1. Gen. krav - drift'!C17</f>
        <v>-218993.36770528529</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3" t="s">
        <v>19</v>
      </c>
      <c r="C20" s="10">
        <f>SUM(C9:C19)</f>
        <v>20958577.06781847</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23588910.755714379</v>
      </c>
      <c r="D22" s="11" t="s">
        <v>3</v>
      </c>
      <c r="E22" s="1"/>
    </row>
    <row r="23" spans="1:5" ht="15" customHeight="1" x14ac:dyDescent="0.25">
      <c r="A23" s="1"/>
      <c r="B23" s="52" t="s">
        <v>39</v>
      </c>
      <c r="C23" s="53"/>
      <c r="D23" s="19"/>
      <c r="E23" s="1"/>
    </row>
    <row r="24" spans="1:5" ht="15" customHeight="1" x14ac:dyDescent="0.25">
      <c r="A24" s="1"/>
      <c r="B24" s="24" t="s">
        <v>35</v>
      </c>
      <c r="C24" s="9">
        <f>'Fane 10.2. Engangstillæg'!C24</f>
        <v>0</v>
      </c>
      <c r="D24" s="8" t="s">
        <v>3</v>
      </c>
      <c r="E24" s="1"/>
    </row>
    <row r="25" spans="1:5" ht="15" customHeight="1" x14ac:dyDescent="0.25">
      <c r="A25" s="1"/>
      <c r="B25" s="24" t="s">
        <v>36</v>
      </c>
      <c r="C25" s="9">
        <f>'Fane 10.2. Engangstillæg'!E24</f>
        <v>67679.668447250006</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-1.909802994586528</v>
      </c>
      <c r="D27" s="8" t="s">
        <v>3</v>
      </c>
      <c r="E27" s="1"/>
    </row>
    <row r="28" spans="1:5" x14ac:dyDescent="0.25">
      <c r="A28" s="1"/>
      <c r="B28" s="73" t="s">
        <v>40</v>
      </c>
      <c r="C28" s="50">
        <f>SUM(C24:C27)</f>
        <v>67677.758644255417</v>
      </c>
      <c r="D28" s="11" t="s">
        <v>3</v>
      </c>
      <c r="E28" s="1"/>
    </row>
    <row r="29" spans="1:5" ht="15" customHeight="1" x14ac:dyDescent="0.25">
      <c r="A29" s="1"/>
      <c r="B29" s="25" t="s">
        <v>65</v>
      </c>
      <c r="C29" s="53"/>
      <c r="D29" s="19"/>
      <c r="E29" s="1"/>
    </row>
    <row r="30" spans="1:5" x14ac:dyDescent="0.25">
      <c r="A30" s="1"/>
      <c r="B30" s="58" t="s">
        <v>66</v>
      </c>
      <c r="C30" s="10">
        <f>'Fane 7. Kontrol af ØR2023'!C30</f>
        <v>-3101756.2993212137</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41513409.282855891</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gm35b9ifnT34zZorLPTMdtDhgsEx7Fxp5Ww8yrL1cOyuFjA/3S5rbASnICkZQJKO/9dLgGXX1Nos+amYpI4Kaw==" saltValue="1IK8uavG4f+8FbHkHpjjY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129</v>
      </c>
      <c r="C3" s="94"/>
      <c r="D3" s="94"/>
      <c r="E3" s="1"/>
    </row>
    <row r="4" spans="1:5" ht="15" customHeight="1" x14ac:dyDescent="0.25">
      <c r="A4" s="1"/>
      <c r="B4" s="94"/>
      <c r="C4" s="94"/>
      <c r="D4" s="94"/>
      <c r="E4" s="1"/>
    </row>
    <row r="5" spans="1:5" x14ac:dyDescent="0.25">
      <c r="A5" s="1"/>
      <c r="B5" s="95"/>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20958577.06781847</v>
      </c>
      <c r="D9" s="8" t="s">
        <v>3</v>
      </c>
      <c r="E9" s="1"/>
    </row>
    <row r="10" spans="1:5" ht="15" customHeight="1" x14ac:dyDescent="0.25">
      <c r="A10" s="1"/>
      <c r="B10" s="47" t="s">
        <v>17</v>
      </c>
      <c r="C10" s="41">
        <f>C9*'Fane 13. Nøgletal'!C11</f>
        <v>1389553.6595963645</v>
      </c>
      <c r="D10" s="8" t="s">
        <v>3</v>
      </c>
      <c r="E10" s="1"/>
    </row>
    <row r="11" spans="1:5" ht="15" customHeight="1" x14ac:dyDescent="0.25">
      <c r="A11" s="1"/>
      <c r="B11" s="47" t="s">
        <v>9</v>
      </c>
      <c r="C11" s="9">
        <f>-SUM(C9:C10)*'Fane 5. Individuelt eff. krav'!C9</f>
        <v>-630.62553298253158</v>
      </c>
      <c r="D11" s="8" t="s">
        <v>3</v>
      </c>
      <c r="E11" s="1"/>
    </row>
    <row r="12" spans="1:5" ht="15" customHeight="1" x14ac:dyDescent="0.25">
      <c r="A12" s="1"/>
      <c r="B12" s="47" t="s">
        <v>21</v>
      </c>
      <c r="C12" s="9">
        <f>-'Fane 4.1. Gen. krav - drift'!C22</f>
        <v>-228842.37542446278</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22118657.726457391</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25152855.538818244</v>
      </c>
      <c r="D16" s="11" t="s">
        <v>3</v>
      </c>
      <c r="E16" s="1"/>
    </row>
    <row r="17" spans="1:5" x14ac:dyDescent="0.25">
      <c r="A17" s="1"/>
      <c r="B17" s="25" t="s">
        <v>65</v>
      </c>
      <c r="C17" s="53"/>
      <c r="D17" s="19"/>
      <c r="E17" s="1"/>
    </row>
    <row r="18" spans="1:5" ht="15" customHeight="1" x14ac:dyDescent="0.25">
      <c r="A18" s="1"/>
      <c r="B18" s="45" t="s">
        <v>66</v>
      </c>
      <c r="C18" s="10">
        <f>'Fane 7. Kontrol af ØR2023'!C30</f>
        <v>-3101756.2993212137</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44169756.965954423</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171vrNETimMLO9MllwHxkjEMmAENIvChNf0cyAgKm7SLaq963hVqOeFJfKETxxIX6uSuR7BX5hOoks//lhOXew==" saltValue="5Qb98EI0s6f1davki21Mp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22118657.726457391</v>
      </c>
      <c r="D9" s="8" t="s">
        <v>3</v>
      </c>
      <c r="E9" s="1"/>
    </row>
    <row r="10" spans="1:5" ht="15" customHeight="1" x14ac:dyDescent="0.25">
      <c r="A10" s="1"/>
      <c r="B10" s="47" t="s">
        <v>17</v>
      </c>
      <c r="C10" s="41">
        <f>C9*'Fane 13. Nøgletal'!C11</f>
        <v>1466467.0072641249</v>
      </c>
      <c r="D10" s="8" t="s">
        <v>3</v>
      </c>
      <c r="E10" s="1"/>
    </row>
    <row r="11" spans="1:5" ht="15" customHeight="1" x14ac:dyDescent="0.25">
      <c r="A11" s="1"/>
      <c r="B11" s="47" t="s">
        <v>9</v>
      </c>
      <c r="C11" s="9">
        <f>-SUM(C9:C10)*'Fane 5. Individuelt eff. krav'!C9</f>
        <v>-665.53136085861468</v>
      </c>
      <c r="D11" s="8" t="s">
        <v>3</v>
      </c>
      <c r="E11" s="1"/>
    </row>
    <row r="12" spans="1:5" ht="15" customHeight="1" x14ac:dyDescent="0.25">
      <c r="A12" s="1"/>
      <c r="B12" s="47" t="s">
        <v>21</v>
      </c>
      <c r="C12" s="9">
        <f>-'Fane 4.1. Gen. krav - drift'!C27</f>
        <v>-239134.33241680259</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23345324.869943857</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26820489.861041892</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50165814.730985746</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s3cWalKAYH5WLgvWVwa9nnZMAVGJnSI7bBJV4fGa6WuQiMj3+LT8yO2/clvM2RLf5QkrxCr8vT1o8CNquU5TA==" saltValue="a2pK3MSOPYh2wVeCQ1Qi9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4" t="s">
        <v>131</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23345324.869943857</v>
      </c>
      <c r="D9" s="8" t="s">
        <v>3</v>
      </c>
      <c r="E9" s="1"/>
    </row>
    <row r="10" spans="1:5" ht="15" customHeight="1" x14ac:dyDescent="0.25">
      <c r="A10" s="1"/>
      <c r="B10" s="47" t="s">
        <v>17</v>
      </c>
      <c r="C10" s="9">
        <f>C9*'Fane 13. Nøgletal'!C11</f>
        <v>1547795.0388772776</v>
      </c>
      <c r="D10" s="8" t="s">
        <v>3</v>
      </c>
      <c r="E10" s="1"/>
    </row>
    <row r="11" spans="1:5" ht="15" customHeight="1" x14ac:dyDescent="0.25">
      <c r="A11" s="1"/>
      <c r="B11" s="47" t="s">
        <v>9</v>
      </c>
      <c r="C11" s="9">
        <f>-SUM(C9:C10)*'Fane 5. Individuelt eff. krav'!C9</f>
        <v>-702.44071871483629</v>
      </c>
      <c r="D11" s="8" t="s">
        <v>3</v>
      </c>
      <c r="E11" s="1"/>
    </row>
    <row r="12" spans="1:5" ht="15" customHeight="1" x14ac:dyDescent="0.25">
      <c r="A12" s="1"/>
      <c r="B12" s="47" t="s">
        <v>21</v>
      </c>
      <c r="C12" s="9">
        <f>-'Fane 4.1. Gen. krav - drift'!C32</f>
        <v>-249889.15988291585</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24642528.308219507</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28598688.338828973</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53241216.647048481</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tkhZs1zdRZy0CXS367kMtZmQVhvF+b3c11zmd911I6KjlJKl/+pMg2/DyYiTS04vMaw9Jzd2NcfXWm6SXPUWpA==" saltValue="j0oqD9deRA1Vm/YWHoyzC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2"/>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3.4257812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6" t="s">
        <v>134</v>
      </c>
      <c r="C3" s="96"/>
      <c r="D3" s="96"/>
      <c r="E3" s="1"/>
    </row>
    <row r="4" spans="1:5" ht="15" customHeight="1" x14ac:dyDescent="0.25">
      <c r="A4" s="1"/>
      <c r="B4" s="96"/>
      <c r="C4" s="96"/>
      <c r="D4" s="96"/>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16516742.341806255</v>
      </c>
      <c r="D9" s="8" t="s">
        <v>3</v>
      </c>
      <c r="E9" s="1"/>
    </row>
    <row r="10" spans="1:5" x14ac:dyDescent="0.25">
      <c r="A10" s="1"/>
      <c r="B10" s="24" t="s">
        <v>32</v>
      </c>
      <c r="C10" s="7">
        <v>718664.96201282344</v>
      </c>
      <c r="D10" s="8" t="s">
        <v>3</v>
      </c>
      <c r="E10" s="1"/>
    </row>
    <row r="11" spans="1:5" ht="15" customHeight="1" x14ac:dyDescent="0.25">
      <c r="A11" s="1"/>
      <c r="B11" s="24" t="s">
        <v>33</v>
      </c>
      <c r="C11" s="9">
        <v>497526.69062486431</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686264.31290142785</v>
      </c>
      <c r="D16" s="8" t="s">
        <v>3</v>
      </c>
      <c r="E16" s="1"/>
    </row>
    <row r="17" spans="1:5" x14ac:dyDescent="0.25">
      <c r="A17" s="1"/>
      <c r="B17" s="24" t="s">
        <v>9</v>
      </c>
      <c r="C17" s="9">
        <v>-97036.384278571568</v>
      </c>
      <c r="D17" s="8" t="s">
        <v>3</v>
      </c>
      <c r="E17" s="1"/>
    </row>
    <row r="18" spans="1:5" x14ac:dyDescent="0.25">
      <c r="A18" s="1"/>
      <c r="B18" s="24" t="s">
        <v>21</v>
      </c>
      <c r="C18" s="9">
        <v>-182418.02779018963</v>
      </c>
      <c r="D18" s="8" t="s">
        <v>3</v>
      </c>
      <c r="E18" s="1"/>
    </row>
    <row r="19" spans="1:5" x14ac:dyDescent="0.25">
      <c r="A19" s="1"/>
      <c r="B19" s="24" t="s">
        <v>22</v>
      </c>
      <c r="C19" s="9">
        <v>0</v>
      </c>
      <c r="D19" s="8" t="s">
        <v>3</v>
      </c>
      <c r="E19" s="1"/>
    </row>
    <row r="20" spans="1:5" x14ac:dyDescent="0.25">
      <c r="A20" s="1"/>
      <c r="B20" s="73" t="s">
        <v>19</v>
      </c>
      <c r="C20" s="10">
        <v>18139743.895276606</v>
      </c>
      <c r="D20" s="11" t="s">
        <v>3</v>
      </c>
      <c r="E20" s="1"/>
    </row>
    <row r="21" spans="1:5" x14ac:dyDescent="0.25">
      <c r="A21" s="1"/>
      <c r="B21" s="52" t="s">
        <v>11</v>
      </c>
      <c r="C21" s="53"/>
      <c r="D21" s="19"/>
      <c r="E21" s="1"/>
    </row>
    <row r="22" spans="1:5" x14ac:dyDescent="0.25">
      <c r="A22" s="1"/>
      <c r="B22" s="54" t="s">
        <v>11</v>
      </c>
      <c r="C22" s="10">
        <v>27724141.246543571</v>
      </c>
      <c r="D22" s="11" t="s">
        <v>3</v>
      </c>
      <c r="E22" s="1"/>
    </row>
    <row r="23" spans="1:5" x14ac:dyDescent="0.25">
      <c r="A23" s="1"/>
      <c r="B23" s="52" t="s">
        <v>39</v>
      </c>
      <c r="C23" s="53"/>
      <c r="D23" s="19"/>
      <c r="E23" s="1"/>
    </row>
    <row r="24" spans="1:5" ht="15" customHeight="1" x14ac:dyDescent="0.25">
      <c r="A24" s="1"/>
      <c r="B24" s="24" t="s">
        <v>35</v>
      </c>
      <c r="C24" s="9">
        <v>0</v>
      </c>
      <c r="D24" s="8" t="s">
        <v>3</v>
      </c>
      <c r="E24" s="1"/>
    </row>
    <row r="25" spans="1:5" ht="14.25" customHeight="1" x14ac:dyDescent="0.25">
      <c r="A25" s="1"/>
      <c r="B25" s="24" t="s">
        <v>36</v>
      </c>
      <c r="C25" s="9">
        <v>0</v>
      </c>
      <c r="D25" s="8" t="s">
        <v>3</v>
      </c>
      <c r="E25" s="1"/>
    </row>
    <row r="26" spans="1:5" ht="14.25" customHeight="1" x14ac:dyDescent="0.25">
      <c r="A26" s="1"/>
      <c r="B26" s="24" t="s">
        <v>79</v>
      </c>
      <c r="C26" s="9">
        <v>0</v>
      </c>
      <c r="D26" s="8" t="s">
        <v>3</v>
      </c>
      <c r="E26" s="1"/>
    </row>
    <row r="27" spans="1:5" ht="14.25" customHeight="1" x14ac:dyDescent="0.25">
      <c r="A27" s="1"/>
      <c r="B27" s="24" t="s">
        <v>80</v>
      </c>
      <c r="C27" s="9">
        <v>0</v>
      </c>
      <c r="D27" s="8" t="s">
        <v>3</v>
      </c>
      <c r="E27" s="1"/>
    </row>
    <row r="28" spans="1:5" ht="14.25" customHeight="1" x14ac:dyDescent="0.25">
      <c r="A28" s="1"/>
      <c r="B28" s="73" t="s">
        <v>40</v>
      </c>
      <c r="C28" s="50">
        <v>0</v>
      </c>
      <c r="D28" s="11" t="s">
        <v>3</v>
      </c>
      <c r="E28" s="1"/>
    </row>
    <row r="29" spans="1:5" x14ac:dyDescent="0.25">
      <c r="A29" s="1"/>
      <c r="B29" s="25" t="s">
        <v>65</v>
      </c>
      <c r="C29" s="53"/>
      <c r="D29" s="19"/>
      <c r="E29" s="1"/>
    </row>
    <row r="30" spans="1:5" x14ac:dyDescent="0.25">
      <c r="A30" s="1"/>
      <c r="B30" s="58" t="s">
        <v>66</v>
      </c>
      <c r="C30" s="10">
        <v>0</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25" t="s">
        <v>193</v>
      </c>
      <c r="C33" s="53"/>
      <c r="D33" s="19"/>
      <c r="E33" s="1"/>
    </row>
    <row r="34" spans="1:5" ht="15.6" customHeight="1" x14ac:dyDescent="0.25">
      <c r="A34" s="1"/>
      <c r="B34" s="58" t="s">
        <v>194</v>
      </c>
      <c r="C34" s="10">
        <v>172435.98541647941</v>
      </c>
      <c r="D34" s="11" t="s">
        <v>3</v>
      </c>
      <c r="E34" s="1"/>
    </row>
    <row r="35" spans="1:5" ht="15.6" customHeight="1" x14ac:dyDescent="0.25">
      <c r="A35" s="1"/>
      <c r="B35" s="52" t="s">
        <v>67</v>
      </c>
      <c r="C35" s="29">
        <v>46036321.127236657</v>
      </c>
      <c r="D35" s="19" t="s">
        <v>3</v>
      </c>
      <c r="E35" s="1"/>
    </row>
    <row r="36" spans="1:5" ht="30" customHeight="1" x14ac:dyDescent="0.25">
      <c r="A36" s="1"/>
      <c r="B36" s="97" t="s">
        <v>195</v>
      </c>
      <c r="C36" s="97"/>
      <c r="D36" s="97"/>
      <c r="E36" s="1"/>
    </row>
    <row r="37" spans="1:5" ht="27.75" customHeight="1"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row r="51" spans="1:5" hidden="1" x14ac:dyDescent="0.25"/>
    <row r="52" spans="1:5" hidden="1" x14ac:dyDescent="0.25"/>
  </sheetData>
  <sheetProtection algorithmName="SHA-512" hashValue="Xa2xrqVANs0QJ8oHVV7x2c0byQ2pt4lmzi9utaYWkNUcP+1n2+PiZ3wOADufyfL+HK3ZQBFcy3zzSCzWWXvH/Q==" saltValue="1d/bxmDYm1EYParziCVC/w==" spinCount="100000" sheet="1" objects="1" scenarios="1"/>
  <mergeCells count="2">
    <mergeCell ref="B3:D4"/>
    <mergeCell ref="B36:D36"/>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6" t="s">
        <v>53</v>
      </c>
      <c r="C3" s="96"/>
      <c r="D3" s="96"/>
      <c r="E3" s="1"/>
    </row>
    <row r="4" spans="1:5" ht="15" customHeight="1" x14ac:dyDescent="0.25">
      <c r="A4" s="1"/>
      <c r="B4" s="96"/>
      <c r="C4" s="96"/>
      <c r="D4" s="96"/>
      <c r="E4" s="1"/>
    </row>
    <row r="5" spans="1:5" ht="15" customHeight="1" x14ac:dyDescent="0.25">
      <c r="A5" s="1"/>
      <c r="B5" s="96"/>
      <c r="C5" s="96"/>
      <c r="D5" s="96"/>
      <c r="E5" s="1"/>
    </row>
    <row r="6" spans="1:5" ht="15" customHeight="1" x14ac:dyDescent="0.25">
      <c r="A6" s="1"/>
      <c r="B6" s="67"/>
      <c r="C6" s="67"/>
      <c r="D6" s="67"/>
      <c r="E6" s="1"/>
    </row>
    <row r="7" spans="1:5" x14ac:dyDescent="0.25">
      <c r="A7" s="1"/>
      <c r="B7" s="1"/>
      <c r="C7" s="32"/>
      <c r="D7" s="1"/>
      <c r="E7" s="1"/>
    </row>
    <row r="8" spans="1:5" x14ac:dyDescent="0.25">
      <c r="A8" s="1"/>
      <c r="B8" s="98" t="s">
        <v>75</v>
      </c>
      <c r="C8" s="99"/>
      <c r="D8" s="100"/>
      <c r="E8" s="1"/>
    </row>
    <row r="9" spans="1:5" x14ac:dyDescent="0.25">
      <c r="A9" s="1"/>
      <c r="B9" s="56" t="s">
        <v>167</v>
      </c>
      <c r="C9" s="22">
        <v>8344168.2985660248</v>
      </c>
      <c r="D9" s="14" t="s">
        <v>3</v>
      </c>
      <c r="E9" s="1"/>
    </row>
    <row r="10" spans="1:5" x14ac:dyDescent="0.25">
      <c r="A10" s="1"/>
      <c r="B10" s="56" t="s">
        <v>110</v>
      </c>
      <c r="C10" s="22">
        <f>('Fane 3. Omkostninger i ØR2024'!C10+'Fane 3. Omkostninger i ØR2024'!C12+'Fane 3. Omkostninger i ØR2024'!C14)*(1+'Fane 13. Nøgletal'!C10)</f>
        <v>776733.09094345954</v>
      </c>
      <c r="D10" s="14" t="s">
        <v>3</v>
      </c>
      <c r="E10" s="1"/>
    </row>
    <row r="11" spans="1:5" x14ac:dyDescent="0.25">
      <c r="A11" s="1"/>
      <c r="B11" s="56" t="s">
        <v>81</v>
      </c>
      <c r="C11" s="22">
        <f>C9*'Fane 13. Nøgletal'!C23+C10*'Fane 13. Nøgletal'!C23</f>
        <v>182418.02779018969</v>
      </c>
      <c r="D11" s="14" t="s">
        <v>3</v>
      </c>
      <c r="E11" s="1"/>
    </row>
    <row r="12" spans="1:5" x14ac:dyDescent="0.25">
      <c r="A12" s="1"/>
      <c r="B12" s="52"/>
      <c r="C12" s="31"/>
      <c r="D12" s="19"/>
      <c r="E12" s="1"/>
    </row>
    <row r="13" spans="1:5" x14ac:dyDescent="0.25">
      <c r="A13" s="1"/>
      <c r="B13" s="1"/>
      <c r="C13" s="32"/>
      <c r="D13" s="1"/>
      <c r="E13" s="1"/>
    </row>
    <row r="14" spans="1:5" x14ac:dyDescent="0.25">
      <c r="A14" s="1"/>
      <c r="B14" s="98" t="s">
        <v>153</v>
      </c>
      <c r="C14" s="99"/>
      <c r="D14" s="100"/>
      <c r="E14" s="1"/>
    </row>
    <row r="15" spans="1:5" x14ac:dyDescent="0.25">
      <c r="A15" s="1"/>
      <c r="B15" s="56" t="s">
        <v>168</v>
      </c>
      <c r="C15" s="22">
        <f>(C9+C10-C11)*(1+'Fane 13. Nøgletal'!C11)</f>
        <v>9531104.8086012844</v>
      </c>
      <c r="D15" s="14" t="s">
        <v>3</v>
      </c>
      <c r="E15" s="1"/>
    </row>
    <row r="16" spans="1:5" x14ac:dyDescent="0.25">
      <c r="A16" s="1"/>
      <c r="B16" s="56" t="s">
        <v>154</v>
      </c>
      <c r="C16" s="22">
        <f>('Fane 2.1. Økonomisk ramme 2025'!C10+'Fane 2.1. Økonomisk ramme 2025'!C12+'Fane 2.1. Økonomisk ramme 2025'!C14)*(1+'Fane 13. Nøgletal'!C11)</f>
        <v>1418563.57666298</v>
      </c>
      <c r="D16" s="14" t="s">
        <v>3</v>
      </c>
      <c r="E16" s="1"/>
    </row>
    <row r="17" spans="1:5" x14ac:dyDescent="0.25">
      <c r="A17" s="1"/>
      <c r="B17" s="56" t="s">
        <v>155</v>
      </c>
      <c r="C17" s="22">
        <f>(C15+C16)*'Fane 13. Nøgletal'!C23</f>
        <v>218993.36770528529</v>
      </c>
      <c r="D17" s="14" t="s">
        <v>3</v>
      </c>
      <c r="E17" s="1"/>
    </row>
    <row r="18" spans="1:5" x14ac:dyDescent="0.25">
      <c r="A18" s="1"/>
      <c r="B18" s="52"/>
      <c r="C18" s="31"/>
      <c r="D18" s="19"/>
      <c r="E18" s="1"/>
    </row>
    <row r="19" spans="1:5" x14ac:dyDescent="0.25">
      <c r="A19" s="1"/>
      <c r="B19" s="1"/>
      <c r="C19" s="32"/>
      <c r="D19" s="1"/>
      <c r="E19" s="1"/>
    </row>
    <row r="20" spans="1:5" x14ac:dyDescent="0.25">
      <c r="A20" s="1"/>
      <c r="B20" s="98" t="s">
        <v>170</v>
      </c>
      <c r="C20" s="99"/>
      <c r="D20" s="100"/>
      <c r="E20" s="1"/>
    </row>
    <row r="21" spans="1:5" x14ac:dyDescent="0.25">
      <c r="A21" s="1"/>
      <c r="B21" s="56" t="s">
        <v>169</v>
      </c>
      <c r="C21" s="48">
        <f>(C15+C16-C17)*(1+'Fane 13. Nøgletal'!C11)</f>
        <v>11442118.771223139</v>
      </c>
      <c r="D21" s="14" t="s">
        <v>3</v>
      </c>
      <c r="E21" s="1"/>
    </row>
    <row r="22" spans="1:5" x14ac:dyDescent="0.25">
      <c r="A22" s="1"/>
      <c r="B22" s="56" t="s">
        <v>171</v>
      </c>
      <c r="C22" s="48">
        <f>(C21)*'Fane 13. Nøgletal'!C23</f>
        <v>228842.37542446278</v>
      </c>
      <c r="D22" s="14" t="s">
        <v>3</v>
      </c>
      <c r="E22" s="1"/>
    </row>
    <row r="23" spans="1:5" x14ac:dyDescent="0.25">
      <c r="A23" s="1"/>
      <c r="B23" s="52"/>
      <c r="C23" s="31"/>
      <c r="D23" s="19"/>
      <c r="E23" s="1"/>
    </row>
    <row r="24" spans="1:5" x14ac:dyDescent="0.25">
      <c r="A24" s="1"/>
      <c r="B24" s="1"/>
      <c r="C24" s="32"/>
      <c r="D24" s="1"/>
      <c r="E24" s="1"/>
    </row>
    <row r="25" spans="1:5" x14ac:dyDescent="0.25">
      <c r="A25" s="1"/>
      <c r="B25" s="98" t="s">
        <v>116</v>
      </c>
      <c r="C25" s="99"/>
      <c r="D25" s="100"/>
      <c r="E25" s="1"/>
    </row>
    <row r="26" spans="1:5" x14ac:dyDescent="0.25">
      <c r="A26" s="1"/>
      <c r="B26" s="56" t="s">
        <v>117</v>
      </c>
      <c r="C26" s="48">
        <f>(C21-C22)*(1+'Fane 13. Nøgletal'!C11)</f>
        <v>11956716.620840129</v>
      </c>
      <c r="D26" s="14" t="s">
        <v>3</v>
      </c>
      <c r="E26" s="1"/>
    </row>
    <row r="27" spans="1:5" x14ac:dyDescent="0.25">
      <c r="A27" s="1"/>
      <c r="B27" s="56" t="s">
        <v>118</v>
      </c>
      <c r="C27" s="48">
        <f>(C26)*'Fane 13. Nøgletal'!C23</f>
        <v>239134.33241680259</v>
      </c>
      <c r="D27" s="14" t="s">
        <v>3</v>
      </c>
      <c r="E27" s="1"/>
    </row>
    <row r="28" spans="1:5" x14ac:dyDescent="0.25">
      <c r="A28" s="1"/>
      <c r="B28" s="52"/>
      <c r="C28" s="42"/>
      <c r="D28" s="19"/>
      <c r="E28" s="1"/>
    </row>
    <row r="29" spans="1:5" x14ac:dyDescent="0.25">
      <c r="A29" s="1"/>
      <c r="B29" s="1"/>
      <c r="C29" s="32"/>
      <c r="D29" s="1"/>
      <c r="E29" s="1"/>
    </row>
    <row r="30" spans="1:5" x14ac:dyDescent="0.25">
      <c r="A30" s="1"/>
      <c r="B30" s="98" t="s">
        <v>136</v>
      </c>
      <c r="C30" s="99"/>
      <c r="D30" s="100"/>
      <c r="E30" s="1"/>
    </row>
    <row r="31" spans="1:5" x14ac:dyDescent="0.25">
      <c r="A31" s="1"/>
      <c r="B31" s="56" t="s">
        <v>137</v>
      </c>
      <c r="C31" s="48">
        <f>(C26-C27)*(1+'Fane 13. Nøgletal'!C11)</f>
        <v>12494457.994145792</v>
      </c>
      <c r="D31" s="14" t="s">
        <v>3</v>
      </c>
      <c r="E31" s="1"/>
    </row>
    <row r="32" spans="1:5" x14ac:dyDescent="0.25">
      <c r="A32" s="1"/>
      <c r="B32" s="56" t="s">
        <v>138</v>
      </c>
      <c r="C32" s="48">
        <f>(C31)*'Fane 13. Nøgletal'!C23</f>
        <v>249889.15988291585</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XPxcTImJjaCpMgYpmQVjqn9XzW9s0P84V5ic2HwGQpNsanmsMj39xYkq/FxeJCIQKKa/jFUgI0wV2XLVKerQ1w==" saltValue="Lv9pj0cMmov3x9VIfNoDbg=="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1" t="s">
        <v>54</v>
      </c>
      <c r="C3" s="102"/>
      <c r="D3" s="102"/>
      <c r="E3" s="1"/>
    </row>
    <row r="4" spans="1:5" ht="15" customHeight="1" x14ac:dyDescent="0.25">
      <c r="A4" s="1"/>
      <c r="B4" s="102"/>
      <c r="C4" s="102"/>
      <c r="D4" s="102"/>
      <c r="E4" s="1"/>
    </row>
    <row r="5" spans="1:5" ht="15" customHeight="1" x14ac:dyDescent="0.25">
      <c r="A5" s="1"/>
      <c r="B5" s="102"/>
      <c r="C5" s="102"/>
      <c r="D5" s="102"/>
      <c r="E5" s="1"/>
    </row>
    <row r="6" spans="1:5" ht="15" customHeight="1" x14ac:dyDescent="0.25">
      <c r="A6" s="1"/>
      <c r="B6" s="1"/>
      <c r="C6" s="1"/>
      <c r="D6" s="1"/>
      <c r="E6" s="1"/>
    </row>
    <row r="7" spans="1:5" ht="15" customHeight="1" x14ac:dyDescent="0.25">
      <c r="A7" s="1"/>
      <c r="B7" s="1"/>
      <c r="C7" s="1"/>
      <c r="D7" s="1"/>
      <c r="E7" s="1"/>
    </row>
    <row r="8" spans="1:5" x14ac:dyDescent="0.25">
      <c r="A8" s="1"/>
      <c r="B8" s="98" t="s">
        <v>76</v>
      </c>
      <c r="C8" s="99"/>
      <c r="D8" s="100"/>
      <c r="E8" s="1"/>
    </row>
    <row r="9" spans="1:5" x14ac:dyDescent="0.25">
      <c r="A9" s="1"/>
      <c r="B9" s="56" t="s">
        <v>162</v>
      </c>
      <c r="C9" s="48">
        <v>9946411.4671205971</v>
      </c>
      <c r="D9" s="14" t="s">
        <v>3</v>
      </c>
      <c r="E9" s="1"/>
    </row>
    <row r="10" spans="1:5" x14ac:dyDescent="0.25">
      <c r="A10" s="1"/>
      <c r="B10" s="56" t="s">
        <v>113</v>
      </c>
      <c r="C10" s="48">
        <f>('Fane 3. Omkostninger i ØR2024'!C11+'Fane 3. Omkostninger i ØR2024'!C13+'Fane 3. Omkostninger i ØR2024'!C15)*(1+'Fane 13. Nøgletal'!C10)</f>
        <v>537726.84722735337</v>
      </c>
      <c r="D10" s="14" t="s">
        <v>3</v>
      </c>
      <c r="E10" s="1"/>
    </row>
    <row r="11" spans="1:5" x14ac:dyDescent="0.25">
      <c r="A11" s="1"/>
      <c r="B11" s="56" t="s">
        <v>114</v>
      </c>
      <c r="C11" s="75">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8" t="s">
        <v>156</v>
      </c>
      <c r="C14" s="99"/>
      <c r="D14" s="100"/>
      <c r="E14" s="1"/>
    </row>
    <row r="15" spans="1:5" x14ac:dyDescent="0.25">
      <c r="A15" s="1"/>
      <c r="B15" s="56" t="s">
        <v>163</v>
      </c>
      <c r="C15" s="48">
        <f>(C9+C10-C11)*(1+'Fane 13. Nøgletal'!C11)</f>
        <v>11179236.68458922</v>
      </c>
      <c r="D15" s="14" t="s">
        <v>3</v>
      </c>
      <c r="E15" s="1"/>
    </row>
    <row r="16" spans="1:5" x14ac:dyDescent="0.25">
      <c r="A16" s="1"/>
      <c r="B16" s="56" t="s">
        <v>157</v>
      </c>
      <c r="C16" s="48">
        <f>('Fane 2.1. Økonomisk ramme 2025'!C11+'Fane 2.1. Økonomisk ramme 2025'!C13+'Fane 2.1. Økonomisk ramme 2025'!C15)*(1+'Fane 13. Nøgletal'!C11)</f>
        <v>417195.55454032001</v>
      </c>
      <c r="D16" s="14" t="s">
        <v>3</v>
      </c>
      <c r="E16" s="1"/>
    </row>
    <row r="17" spans="1:5" x14ac:dyDescent="0.25">
      <c r="A17" s="1"/>
      <c r="B17" s="56" t="s">
        <v>158</v>
      </c>
      <c r="C17" s="75">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8" t="s">
        <v>166</v>
      </c>
      <c r="C20" s="99"/>
      <c r="D20" s="100"/>
      <c r="E20" s="1"/>
    </row>
    <row r="21" spans="1:5" x14ac:dyDescent="0.25">
      <c r="A21" s="1"/>
      <c r="B21" s="56" t="s">
        <v>164</v>
      </c>
      <c r="C21" s="48">
        <f>(C15+C16-C17)*(1+'Fane 13. Nøgletal'!C11)</f>
        <v>12365275.696583828</v>
      </c>
      <c r="D21" s="14" t="s">
        <v>3</v>
      </c>
      <c r="E21" s="1"/>
    </row>
    <row r="22" spans="1:5" x14ac:dyDescent="0.25">
      <c r="A22" s="1"/>
      <c r="B22" s="56" t="s">
        <v>165</v>
      </c>
      <c r="C22" s="75">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8" t="s">
        <v>119</v>
      </c>
      <c r="C25" s="99"/>
      <c r="D25" s="100"/>
      <c r="E25" s="1"/>
    </row>
    <row r="26" spans="1:5" x14ac:dyDescent="0.25">
      <c r="A26" s="1"/>
      <c r="B26" s="56" t="s">
        <v>120</v>
      </c>
      <c r="C26" s="48">
        <f>(C21-C22)*(1+'Fane 13. Nøgletal'!C11)</f>
        <v>13185093.475267336</v>
      </c>
      <c r="D26" s="14" t="s">
        <v>3</v>
      </c>
      <c r="E26" s="1"/>
    </row>
    <row r="27" spans="1:5" x14ac:dyDescent="0.25">
      <c r="A27" s="1"/>
      <c r="B27" s="56" t="s">
        <v>121</v>
      </c>
      <c r="C27" s="75">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8" t="s">
        <v>139</v>
      </c>
      <c r="C30" s="99"/>
      <c r="D30" s="100"/>
      <c r="E30" s="1"/>
    </row>
    <row r="31" spans="1:5" x14ac:dyDescent="0.25">
      <c r="A31" s="1"/>
      <c r="B31" s="56" t="s">
        <v>140</v>
      </c>
      <c r="C31" s="48">
        <f>(C26-C27)*(1+'Fane 13. Nøgletal'!C11)</f>
        <v>14059265.17267756</v>
      </c>
      <c r="D31" s="14" t="s">
        <v>3</v>
      </c>
      <c r="E31" s="1"/>
    </row>
    <row r="32" spans="1:5" x14ac:dyDescent="0.25">
      <c r="A32" s="1"/>
      <c r="B32" s="56" t="s">
        <v>141</v>
      </c>
      <c r="C32" s="75">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6iDLXZKQKYxIZkB/m6YcoocD37Mzafct2lBQDBROVGqZhFQpHJiiPM4k0QpbxVYvj82VVbt9zLE+KSCwF2/SLg==" saltValue="MH6S0YnMMFh2tYVTsEQzSg=="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4" t="s">
        <v>41</v>
      </c>
      <c r="C3" s="94"/>
      <c r="D3" s="1"/>
    </row>
    <row r="4" spans="1:4" ht="15" customHeight="1" x14ac:dyDescent="0.25">
      <c r="A4" s="1"/>
      <c r="B4" s="94"/>
      <c r="C4" s="9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8" t="s">
        <v>9</v>
      </c>
      <c r="C8" s="100"/>
      <c r="D8" s="1"/>
    </row>
    <row r="9" spans="1:4" x14ac:dyDescent="0.25">
      <c r="A9" s="1"/>
      <c r="B9" s="56" t="s">
        <v>160</v>
      </c>
      <c r="C9" s="44">
        <v>2.8218267589106787E-5</v>
      </c>
      <c r="D9" s="1"/>
    </row>
    <row r="10" spans="1:4" x14ac:dyDescent="0.25">
      <c r="A10" s="1"/>
      <c r="B10" s="52"/>
      <c r="C10" s="19"/>
      <c r="D10" s="1"/>
    </row>
    <row r="11" spans="1:4" ht="15" customHeight="1" x14ac:dyDescent="0.25">
      <c r="A11" s="1"/>
      <c r="B11" s="103" t="s">
        <v>161</v>
      </c>
      <c r="C11" s="104"/>
      <c r="D11" s="1"/>
    </row>
    <row r="12" spans="1:4" ht="13.5" customHeight="1" x14ac:dyDescent="0.25">
      <c r="A12" s="1"/>
      <c r="B12" s="105"/>
      <c r="C12" s="10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dko1EzjEmxcUOPx1i5P2R7Ic20piSywfhApyLbUailkLapzAdNTQu2r7C4yiTe3hhRUMTvME33vq2zFcnEy3Cw==" saltValue="7BJw2WW/f5RDh0d2YslZ+w=="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2024-09-04T07:52:12Z</dcterms:modified>
</cp:coreProperties>
</file>