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Kerteminde Forsyning - Spildevand AS (S057)\ØR2024\"/>
    </mc:Choice>
  </mc:AlternateContent>
  <xr:revisionPtr revIDLastSave="0" documentId="13_ncr:1_{BB0B9E3C-0113-4011-A34B-9686DD40835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G21" i="30"/>
  <c r="C20" i="15" l="1"/>
  <c r="C32" i="2"/>
  <c r="C9" i="2"/>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9" i="36" l="1"/>
  <c r="G31" i="36" s="1"/>
  <c r="G25" i="30"/>
  <c r="C10" i="37" l="1"/>
  <c r="C18" i="37" s="1"/>
  <c r="C19" i="37" s="1"/>
  <c r="C10" i="2" l="1"/>
  <c r="G35" i="36"/>
  <c r="G53" i="30" l="1"/>
  <c r="G37" i="36"/>
  <c r="G41" i="36" l="1"/>
  <c r="G27" i="30"/>
  <c r="G43" i="36" l="1"/>
  <c r="G31" i="30"/>
  <c r="E10" i="37"/>
  <c r="E18" i="37" s="1"/>
  <c r="E19"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<sst xmlns="http://schemas.openxmlformats.org/spreadsheetml/2006/main" count="652" uniqueCount="290">
  <si>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</si>
  <si>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</si>
  <si>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</si>
  <si>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</si>
  <si>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</si>
  <si>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</si>
  <si>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</si>
  <si>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</si>
  <si>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</si>
  <si>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</si>
  <si>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</si>
  <si>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</si>
  <si>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</si>
  <si>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</si>
  <si>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</si>
  <si>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</si>
  <si>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</si>
  <si>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</si>
  <si>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</si>
  <si>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</si>
  <si>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</si>
  <si>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</si>
  <si>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</si>
  <si>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</si>
  <si>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</si>
  <si>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</si>
  <si>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</si>
  <si>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</si>
  <si>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</si>
  <si>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</si>
  <si>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</si>
  <si>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</si>
  <si>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</si>
  <si>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</si>
  <si>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</si>
  <si>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</si>
  <si>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</si>
  <si>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</si>
  <si>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</si>
  <si>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</si>
  <si>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</si>
  <si>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</si>
  <si>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</si>
  <si>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</si>
  <si>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</si>
  <si>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</si>
  <si>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</si>
  <si>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</si>
  <si>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</si>
  <si>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</si>
  <si>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</si>
  <si>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</si>
  <si>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</si>
  <si>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</si>
  <si>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</si>
  <si>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</si>
  <si>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</si>
  <si>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</si>
  <si>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</si>
  <si>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</si>
  <si>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</si>
  <si>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</si>
  <si>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</si>
  <si>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</si>
  <si>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</si>
  <si>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</si>
  <si>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</si>
  <si>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</si>
  <si>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</si>
  <si>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</si>
  <si>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</si>
  <si>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</si>
  <si>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</si>
  <si>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</si>
  <si>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</si>
  <si>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</si>
  <si>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</si>
  <si>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</si>
  <si>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</si>
  <si>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</si>
  <si>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</si>
  <si>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</si>
  <si>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</si>
  <si>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</si>
  <si>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</si>
  <si>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</si>
  <si>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</si>
  <si>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</si>
  <si>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</si>
  <si>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</si>
  <si>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</si>
  <si>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</si>
  <si>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</si>
  <si>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</si>
  <si>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</si>
  <si>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</si>
  <si>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</si>
  <si>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</si>
  <si>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</si>
  <si>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</si>
  <si>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</si>
  <si>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</si>
  <si>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</si>
  <si>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</si>
  <si>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</si>
  <si>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</si>
  <si>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</si>
  <si>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</si>
  <si>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</si>
  <si>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</si>
  <si>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</si>
  <si>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</si>
  <si>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</si>
  <si>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</si>
  <si>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</si>
  <si>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</si>
  <si>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</si>
  <si>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</si>
  <si>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</si>
  <si>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</si>
  <si>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</si>
  <si>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</si>
  <si>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</si>
  <si>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</si>
  <si>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</si>
  <si>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</si>
  <si>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</si>
  <si>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</si>
  <si>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</si>
  <si>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</si>
  <si>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</si>
  <si>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</si>
  <si>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</si>
  <si>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</si>
  <si>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</si>
  <si>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</si>
  <si>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</si>
  <si>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</si>
  <si>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</si>
  <si>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</si>
  <si>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</si>
  <si>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</si>
  <si>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</si>
  <si>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</si>
  <si>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</si>
  <si>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</si>
  <si>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</si>
  <si>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</si>
  <si>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</si>
  <si>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</si>
  <si>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</si>
  <si>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</si>
  <si>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</si>
  <si>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</si>
  <si>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</si>
  <si>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</si>
  <si>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</si>
  <si>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</si>
  <si>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</si>
  <si>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</si>
  <si>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</si>
  <si>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</si>
  <si>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</si>
  <si>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</si>
  <si>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</si>
  <si>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</si>
  <si>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</si>
  <si>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</si>
  <si>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</si>
  <si>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</si>
  <si>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</si>
  <si>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</si>
  <si>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</si>
  <si>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</si>
  <si>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</si>
  <si>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</si>
  <si>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</si>
  <si>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</si>
  <si>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</si>
  <si>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</si>
  <si>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</si>
  <si>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</si>
  <si>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</si>
  <si>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</si>
  <si>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</si>
  <si>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</si>
  <si>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</si>
  <si>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</si>
  <si>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</si>
  <si>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</si>
  <si>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</si>
  <si>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</si>
  <si>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</si>
  <si>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</si>
  <si>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</si>
  <si>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</si>
  <si>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</si>
  <si>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</si>
  <si>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</si>
  <si>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</si>
  <si>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</si>
  <si>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</si>
  <si>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</si>
  <si>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</si>
  <si>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</si>
  <si>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</si>
  <si>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</si>
  <si>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</si>
  <si>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</si>
  <si>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</si>
  <si>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</si>
  <si>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</si>
  <si>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</si>
  <si>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</si>
  <si>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</si>
  <si>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</si>
  <si>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</si>
  <si>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</si>
  <si>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</si>
  <si>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</si>
  <si>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</si>
  <si>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</si>
  <si>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</si>
  <si>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</si>
  <si>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</si>
  <si>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</si>
  <si>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</si>
  <si>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</si>
  <si>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</si>
  <si>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</si>
  <si>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</si>
  <si>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</si>
  <si>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</si>
  <si>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</si>
  <si>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</si>
  <si>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</si>
  <si>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</si>
  <si>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</si>
  <si>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</si>
  <si>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</si>
  <si>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</si>
  <si>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</si>
  <si>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</si>
  <si>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</si>
  <si>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</si>
  <si>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</si>
  <si>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</si>
  <si>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</si>
  <si>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</si>
  <si>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</si>
  <si>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</si>
  <si>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</si>
  <si>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</si>
  <si>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</si>
  <si>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</si>
  <si>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</si>
  <si>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</si>
  <si>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</si>
  <si>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</si>
  <si>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</si>
  <si>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</si>
  <si>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</si>
  <si>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</si>
  <si>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</si>
  <si>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</si>
  <si>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</si>
  <si>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</si>
  <si>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</si>
  <si>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</si>
  <si>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</si>
  <si>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</si>
  <si>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</si>
  <si>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Hjemtagning af spildevand</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</si>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</sst>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102" t="s">
        <v>252</v>
      </c>
      <c r="E8" s="102"/>
      <c r="F8" s="102"/>
      <c r="G8" s="10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1" t="s">
        <v>197</v>
      </c>
      <c r="E14" s="92"/>
      <c r="F14" s="92"/>
      <c r="G14" s="93"/>
      <c r="H14" s="5"/>
      <c r="I14" s="1"/>
    </row>
    <row r="15" spans="1:9" x14ac:dyDescent="0.25">
      <c r="A15" s="1"/>
      <c r="B15" s="1"/>
      <c r="C15" s="6" t="s">
        <v>31</v>
      </c>
      <c r="D15" s="91" t="s">
        <v>262</v>
      </c>
      <c r="E15" s="92"/>
      <c r="F15" s="92"/>
      <c r="G15" s="93"/>
      <c r="H15" s="5"/>
      <c r="I15" s="1"/>
    </row>
    <row r="16" spans="1:9" x14ac:dyDescent="0.25">
      <c r="A16" s="1"/>
      <c r="B16" s="1"/>
      <c r="C16" s="6" t="s">
        <v>32</v>
      </c>
      <c r="D16" s="91" t="s">
        <v>263</v>
      </c>
      <c r="E16" s="92"/>
      <c r="F16" s="92"/>
      <c r="G16" s="93"/>
      <c r="H16" s="5"/>
      <c r="I16" s="1"/>
    </row>
    <row r="17" spans="1:9" x14ac:dyDescent="0.25">
      <c r="A17" s="1"/>
      <c r="B17" s="1"/>
      <c r="C17" s="6" t="s">
        <v>101</v>
      </c>
      <c r="D17" s="91" t="s">
        <v>198</v>
      </c>
      <c r="E17" s="92"/>
      <c r="F17" s="92"/>
      <c r="G17" s="93"/>
      <c r="H17" s="5"/>
      <c r="I17" s="1"/>
    </row>
    <row r="18" spans="1:9" x14ac:dyDescent="0.25">
      <c r="A18" s="1"/>
      <c r="B18" s="1"/>
      <c r="C18" s="6" t="s">
        <v>88</v>
      </c>
      <c r="D18" s="103" t="s">
        <v>79</v>
      </c>
      <c r="E18" s="104"/>
      <c r="F18" s="104"/>
      <c r="G18" s="105"/>
      <c r="H18" s="5"/>
      <c r="I18" s="1"/>
    </row>
    <row r="19" spans="1:9" x14ac:dyDescent="0.25">
      <c r="A19" s="1"/>
      <c r="B19" s="1"/>
      <c r="C19" s="6" t="s">
        <v>89</v>
      </c>
      <c r="D19" s="103" t="s">
        <v>80</v>
      </c>
      <c r="E19" s="104"/>
      <c r="F19" s="104"/>
      <c r="G19" s="105"/>
      <c r="H19" s="5"/>
      <c r="I19" s="1"/>
    </row>
    <row r="20" spans="1:9" x14ac:dyDescent="0.25">
      <c r="A20" s="1"/>
      <c r="B20" s="1"/>
      <c r="C20" s="6" t="s">
        <v>7</v>
      </c>
      <c r="D20" s="103" t="s">
        <v>10</v>
      </c>
      <c r="E20" s="104"/>
      <c r="F20" s="104"/>
      <c r="G20" s="105"/>
      <c r="H20" s="5"/>
      <c r="I20" s="1"/>
    </row>
    <row r="21" spans="1:9" x14ac:dyDescent="0.25">
      <c r="A21" s="1"/>
      <c r="B21" s="1"/>
      <c r="C21" s="6" t="s">
        <v>90</v>
      </c>
      <c r="D21" s="95" t="s">
        <v>12</v>
      </c>
      <c r="E21" s="96"/>
      <c r="F21" s="96"/>
      <c r="G21" s="97"/>
      <c r="H21" s="5"/>
      <c r="I21" s="1"/>
    </row>
    <row r="22" spans="1:9" x14ac:dyDescent="0.25">
      <c r="A22" s="1"/>
      <c r="B22" s="1"/>
      <c r="C22" s="6" t="s">
        <v>71</v>
      </c>
      <c r="D22" s="98" t="s">
        <v>199</v>
      </c>
      <c r="E22" s="99"/>
      <c r="F22" s="99"/>
      <c r="G22" s="100"/>
      <c r="H22" s="5"/>
      <c r="I22" s="1"/>
    </row>
    <row r="23" spans="1:9" x14ac:dyDescent="0.25">
      <c r="A23" s="1"/>
      <c r="B23" s="1"/>
      <c r="C23" s="6" t="s">
        <v>8</v>
      </c>
      <c r="D23" s="98" t="s">
        <v>181</v>
      </c>
      <c r="E23" s="99"/>
      <c r="F23" s="99"/>
      <c r="G23" s="100"/>
      <c r="H23" s="5"/>
      <c r="I23" s="1"/>
    </row>
    <row r="24" spans="1:9" x14ac:dyDescent="0.25">
      <c r="A24" s="1"/>
      <c r="B24" s="1"/>
      <c r="C24" s="6" t="s">
        <v>9</v>
      </c>
      <c r="D24" s="98" t="s">
        <v>200</v>
      </c>
      <c r="E24" s="99"/>
      <c r="F24" s="99"/>
      <c r="G24" s="100"/>
      <c r="H24" s="5"/>
      <c r="I24" s="1"/>
    </row>
    <row r="25" spans="1:9" x14ac:dyDescent="0.25">
      <c r="A25" s="1"/>
      <c r="B25" s="1"/>
      <c r="C25" s="6" t="s">
        <v>166</v>
      </c>
      <c r="D25" s="98" t="s">
        <v>160</v>
      </c>
      <c r="E25" s="99"/>
      <c r="F25" s="99"/>
      <c r="G25" s="100"/>
      <c r="H25" s="1"/>
      <c r="I25" s="1"/>
    </row>
    <row r="26" spans="1:9" x14ac:dyDescent="0.25">
      <c r="A26" s="1"/>
      <c r="B26" s="1"/>
      <c r="C26" s="6" t="s">
        <v>167</v>
      </c>
      <c r="D26" s="98" t="s">
        <v>72</v>
      </c>
      <c r="E26" s="99"/>
      <c r="F26" s="99"/>
      <c r="G26" s="100"/>
      <c r="H26" s="1"/>
      <c r="I26" s="1"/>
    </row>
    <row r="27" spans="1:9" x14ac:dyDescent="0.25">
      <c r="A27" s="1"/>
      <c r="B27" s="1"/>
      <c r="C27" s="6" t="s">
        <v>168</v>
      </c>
      <c r="D27" s="98" t="s">
        <v>73</v>
      </c>
      <c r="E27" s="99"/>
      <c r="F27" s="99"/>
      <c r="G27" s="100"/>
      <c r="H27" s="1"/>
      <c r="I27" s="1"/>
    </row>
    <row r="28" spans="1:9" x14ac:dyDescent="0.25">
      <c r="A28" s="1"/>
      <c r="B28" s="1"/>
      <c r="C28" s="6" t="s">
        <v>15</v>
      </c>
      <c r="D28" s="98" t="s">
        <v>74</v>
      </c>
      <c r="E28" s="99"/>
      <c r="F28" s="99"/>
      <c r="G28" s="100"/>
      <c r="H28" s="1"/>
      <c r="I28" s="1"/>
    </row>
    <row r="29" spans="1:9" x14ac:dyDescent="0.25">
      <c r="A29" s="1"/>
      <c r="B29" s="1"/>
      <c r="C29" s="6" t="s">
        <v>34</v>
      </c>
      <c r="D29" s="98" t="s">
        <v>114</v>
      </c>
      <c r="E29" s="99"/>
      <c r="F29" s="99"/>
      <c r="G29" s="100"/>
      <c r="H29" s="1"/>
      <c r="I29" s="1"/>
    </row>
    <row r="30" spans="1:9" x14ac:dyDescent="0.25">
      <c r="A30" s="1"/>
      <c r="B30" s="1"/>
      <c r="C30" s="6" t="s">
        <v>35</v>
      </c>
      <c r="D30" s="98" t="s">
        <v>33</v>
      </c>
      <c r="E30" s="99"/>
      <c r="F30" s="99"/>
      <c r="G30" s="100"/>
      <c r="H30" s="1"/>
      <c r="I30" s="1"/>
    </row>
    <row r="31" spans="1:9" x14ac:dyDescent="0.25">
      <c r="A31" s="1"/>
      <c r="B31" s="1"/>
      <c r="C31" s="6" t="s">
        <v>169</v>
      </c>
      <c r="D31" s="109" t="s">
        <v>87</v>
      </c>
      <c r="E31" s="110"/>
      <c r="F31" s="110"/>
      <c r="G31" s="11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LKxDlGMYNdlr7N4gtu1WmqxAi9WnNgql9ZHI/vac6ZyBoE7veBOxlWQNkRuSNKbFQpF7KFuLSX07nlUhCCKG5w==" saltValue="88BUUEh6CAD0pqvDfcDCf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224</v>
      </c>
      <c r="C8" s="120"/>
      <c r="D8" s="121"/>
      <c r="E8" s="1"/>
      <c r="F8" s="1"/>
    </row>
    <row r="9" spans="1:6" ht="15" customHeight="1" x14ac:dyDescent="0.25">
      <c r="A9" s="1"/>
      <c r="B9" s="27" t="s">
        <v>29</v>
      </c>
      <c r="C9" s="50" t="s">
        <v>225</v>
      </c>
      <c r="D9" s="11"/>
      <c r="E9" s="1"/>
      <c r="F9" s="1"/>
    </row>
    <row r="10" spans="1:6" ht="15" customHeight="1" x14ac:dyDescent="0.25">
      <c r="A10" s="1"/>
      <c r="B10" s="82" t="s">
        <v>286</v>
      </c>
      <c r="C10" s="9">
        <v>230001</v>
      </c>
      <c r="D10" s="14" t="s">
        <v>3</v>
      </c>
      <c r="E10" s="1"/>
      <c r="F10" s="1"/>
    </row>
    <row r="11" spans="1:6" ht="15" customHeight="1" x14ac:dyDescent="0.25">
      <c r="A11" s="1"/>
      <c r="B11" s="82" t="s">
        <v>287</v>
      </c>
      <c r="C11" s="9">
        <v>74230</v>
      </c>
      <c r="D11" s="14" t="s">
        <v>3</v>
      </c>
      <c r="E11" s="1"/>
      <c r="F11" s="1"/>
    </row>
    <row r="12" spans="1:6" x14ac:dyDescent="0.25">
      <c r="A12" s="1"/>
      <c r="B12" s="82" t="s">
        <v>288</v>
      </c>
      <c r="C12" s="9">
        <v>4587482</v>
      </c>
      <c r="D12" s="14" t="s">
        <v>3</v>
      </c>
      <c r="E12" s="1"/>
      <c r="F12" s="1"/>
    </row>
    <row r="13" spans="1:6" x14ac:dyDescent="0.25">
      <c r="A13" s="1"/>
      <c r="B13" s="82" t="s">
        <v>289</v>
      </c>
      <c r="C13" s="9">
        <v>182464</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5074177</v>
      </c>
      <c r="D20" s="13" t="s">
        <v>3</v>
      </c>
      <c r="E20" s="1"/>
      <c r="F20" s="1"/>
    </row>
    <row r="21" spans="1:6" x14ac:dyDescent="0.25">
      <c r="A21" s="1"/>
      <c r="B21" s="33" t="s">
        <v>227</v>
      </c>
      <c r="C21" s="12">
        <f>C20*(1+'Fane 15. Nøgletal'!C16)^2</f>
        <v>5927291.4781292798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9" t="s">
        <v>99</v>
      </c>
      <c r="C24" s="120"/>
      <c r="D24" s="121"/>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9"/>
      <c r="C29" s="120"/>
      <c r="D29" s="121"/>
      <c r="E29" s="1"/>
      <c r="F29" s="1"/>
    </row>
    <row r="30" spans="1:6" x14ac:dyDescent="0.25">
      <c r="A30" s="1"/>
      <c r="B30" s="1"/>
      <c r="C30" s="1"/>
      <c r="D30" s="1"/>
      <c r="E30" s="1"/>
      <c r="F30" s="1"/>
    </row>
    <row r="31" spans="1:6" x14ac:dyDescent="0.25">
      <c r="A31" s="1"/>
      <c r="B31" s="1"/>
      <c r="C31" s="1"/>
      <c r="D31" s="1"/>
      <c r="E31" s="1"/>
      <c r="F31" s="1"/>
    </row>
    <row r="32" spans="1:6" x14ac:dyDescent="0.25">
      <c r="A32" s="1"/>
      <c r="B32" s="119" t="s">
        <v>81</v>
      </c>
      <c r="C32" s="120"/>
      <c r="D32" s="121"/>
      <c r="E32" s="1"/>
      <c r="F32" s="1"/>
    </row>
    <row r="33" spans="1:6" x14ac:dyDescent="0.25">
      <c r="A33" s="1"/>
      <c r="B33" s="82" t="s">
        <v>109</v>
      </c>
      <c r="C33" s="9">
        <v>144672</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9"/>
      <c r="C37" s="120"/>
      <c r="D37" s="12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r93F8PLeIPHUGoBQ8vmON6tUWnbHULKw4MI9mjZhznWapRkbQcwWAshi3DBMtXkdLWEp5P/f43LpuYWzcXpyWg==" saltValue="Q1FMSnIUCRgv52iS33ZYA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9930-7A8F-432D-90A8-1CD01327361F}">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206</v>
      </c>
      <c r="C3" s="115"/>
      <c r="D3" s="115"/>
      <c r="E3" s="115"/>
      <c r="F3" s="115"/>
      <c r="G3" s="1"/>
    </row>
    <row r="4" spans="1:7" ht="15" customHeight="1" x14ac:dyDescent="0.25">
      <c r="A4" s="1"/>
      <c r="B4" s="115"/>
      <c r="C4" s="115"/>
      <c r="D4" s="115"/>
      <c r="E4" s="115"/>
      <c r="F4" s="115"/>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9" t="s">
        <v>137</v>
      </c>
      <c r="C8" s="120"/>
      <c r="D8" s="120"/>
      <c r="E8" s="120"/>
      <c r="F8" s="121"/>
      <c r="G8" s="1"/>
    </row>
    <row r="9" spans="1:7" ht="15" customHeight="1" x14ac:dyDescent="0.25">
      <c r="A9" s="1"/>
      <c r="B9" s="122" t="s">
        <v>274</v>
      </c>
      <c r="C9" s="123"/>
      <c r="D9" s="124"/>
      <c r="E9" s="9">
        <v>9829518</v>
      </c>
      <c r="F9" s="14" t="s">
        <v>3</v>
      </c>
      <c r="G9" s="1"/>
    </row>
    <row r="10" spans="1:7" ht="15" customHeight="1" x14ac:dyDescent="0.25">
      <c r="A10" s="1"/>
      <c r="B10" s="122" t="s">
        <v>143</v>
      </c>
      <c r="C10" s="123"/>
      <c r="D10" s="124"/>
      <c r="E10" s="9">
        <v>6566594.7348673195</v>
      </c>
      <c r="F10" s="14" t="s">
        <v>3</v>
      </c>
      <c r="G10" s="1"/>
    </row>
    <row r="11" spans="1:7" ht="15" customHeight="1" x14ac:dyDescent="0.25">
      <c r="A11" s="1"/>
      <c r="B11" s="122" t="s">
        <v>275</v>
      </c>
      <c r="C11" s="123"/>
      <c r="D11" s="124"/>
      <c r="E11" s="9">
        <v>7572955.3781421781</v>
      </c>
      <c r="F11" s="14" t="s">
        <v>3</v>
      </c>
      <c r="G11" s="1"/>
    </row>
    <row r="12" spans="1:7" x14ac:dyDescent="0.25">
      <c r="A12" s="1"/>
      <c r="B12" s="33"/>
      <c r="C12" s="28"/>
      <c r="D12" s="28"/>
      <c r="E12" s="28"/>
      <c r="F12" s="19"/>
      <c r="G12" s="1"/>
    </row>
    <row r="13" spans="1:7" ht="42" customHeight="1" x14ac:dyDescent="0.25">
      <c r="A13" s="1"/>
      <c r="B13" s="116" t="s">
        <v>276</v>
      </c>
      <c r="C13" s="117"/>
      <c r="D13" s="117"/>
      <c r="E13" s="117"/>
      <c r="F13" s="118"/>
      <c r="G13" s="1"/>
    </row>
    <row r="14" spans="1:7" ht="15" customHeight="1" x14ac:dyDescent="0.25">
      <c r="A14" s="1"/>
      <c r="B14" s="1"/>
      <c r="C14" s="1"/>
      <c r="D14" s="1"/>
      <c r="E14" s="1"/>
      <c r="F14" s="1"/>
      <c r="G14" s="1"/>
    </row>
    <row r="15" spans="1:7" x14ac:dyDescent="0.25">
      <c r="A15" s="1"/>
      <c r="B15" s="76" t="s">
        <v>277</v>
      </c>
      <c r="C15" s="77"/>
      <c r="D15" s="77"/>
      <c r="E15" s="77"/>
      <c r="F15" s="78"/>
      <c r="G15" s="1"/>
    </row>
    <row r="16" spans="1:7" x14ac:dyDescent="0.25">
      <c r="A16" s="1"/>
      <c r="B16" s="79" t="s">
        <v>278</v>
      </c>
      <c r="C16" s="80"/>
      <c r="D16" s="81"/>
      <c r="E16" s="9">
        <f>IF(E11&lt;0,E11,0)</f>
        <v>0</v>
      </c>
      <c r="F16" s="14" t="s">
        <v>3</v>
      </c>
      <c r="G16" s="1"/>
    </row>
    <row r="17" spans="1:7" x14ac:dyDescent="0.25">
      <c r="A17" s="1"/>
      <c r="B17" s="79" t="s">
        <v>279</v>
      </c>
      <c r="C17" s="80"/>
      <c r="D17" s="81"/>
      <c r="E17" s="9">
        <f>IF(SUM(E10)&gt;0,SUM(E10),0)</f>
        <v>6566594.7348673195</v>
      </c>
      <c r="F17" s="14" t="s">
        <v>3</v>
      </c>
      <c r="G17" s="1"/>
    </row>
    <row r="18" spans="1:7" x14ac:dyDescent="0.25">
      <c r="A18" s="1"/>
      <c r="B18" s="83" t="s">
        <v>280</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281</v>
      </c>
      <c r="C21" s="77"/>
      <c r="D21" s="77"/>
      <c r="E21" s="77"/>
      <c r="F21" s="78"/>
      <c r="G21" s="1"/>
    </row>
    <row r="22" spans="1:7" x14ac:dyDescent="0.25">
      <c r="A22" s="1"/>
      <c r="B22" s="79" t="s">
        <v>282</v>
      </c>
      <c r="C22" s="80"/>
      <c r="D22" s="81"/>
      <c r="E22" s="9">
        <v>43198563.388946824</v>
      </c>
      <c r="F22" s="14" t="s">
        <v>3</v>
      </c>
      <c r="G22" s="1"/>
    </row>
    <row r="23" spans="1:7" x14ac:dyDescent="0.25">
      <c r="A23" s="1"/>
      <c r="B23" s="79" t="s">
        <v>283</v>
      </c>
      <c r="C23" s="80"/>
      <c r="D23" s="81"/>
      <c r="E23" s="9">
        <v>39875776</v>
      </c>
      <c r="F23" s="14" t="s">
        <v>3</v>
      </c>
      <c r="G23" s="1"/>
    </row>
    <row r="24" spans="1:7" x14ac:dyDescent="0.25">
      <c r="A24" s="1"/>
      <c r="B24" s="79" t="s">
        <v>30</v>
      </c>
      <c r="C24" s="80"/>
      <c r="D24" s="81"/>
      <c r="E24" s="9">
        <v>0</v>
      </c>
      <c r="F24" s="14" t="s">
        <v>3</v>
      </c>
      <c r="G24" s="1"/>
    </row>
    <row r="25" spans="1:7" x14ac:dyDescent="0.25">
      <c r="A25" s="1"/>
      <c r="B25" s="83" t="s">
        <v>284</v>
      </c>
      <c r="C25" s="84"/>
      <c r="D25" s="85"/>
      <c r="E25" s="62">
        <f>E22-E23-E24</f>
        <v>3322787.3889468238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9" t="s">
        <v>285</v>
      </c>
      <c r="C28" s="120"/>
      <c r="D28" s="120"/>
      <c r="E28" s="120"/>
      <c r="F28" s="121"/>
      <c r="G28" s="1"/>
    </row>
    <row r="29" spans="1:7" x14ac:dyDescent="0.25">
      <c r="A29" s="1"/>
      <c r="B29" s="134" t="s">
        <v>116</v>
      </c>
      <c r="C29" s="135"/>
      <c r="D29" s="136"/>
      <c r="E29" s="9">
        <f>IF(E18&lt;0,IF(E25&lt;0,SUM(E18,E25),IF(E10&gt;0,SUM(E10:E11),E18)),IF(AND(E25&lt;0,SUM(E25,E11)&lt;0),IF(E11&lt;0,E25,IF(SUM(E10:E11)&gt;0,SUM(E25,E11),IF(AND(E25&lt;0,E18=0,E11&gt;0),IF(SUM(E9:E11)&gt;0,E25+E11,E25)))),0))</f>
        <v>0</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0</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3mxJeaxmYhhzd3Ibz0kqGW5GhOeHmlf5b678/jR5yQJBxJXSaY6MAs2dznS6oRuhsu6w1lS6LjcDxYNdftXcUQ==" saltValue="Gw8WA7QZQPg5rNZPdAPuT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189</v>
      </c>
      <c r="C8" s="120"/>
      <c r="D8" s="120"/>
      <c r="E8" s="120"/>
      <c r="F8" s="120"/>
      <c r="G8" s="120"/>
      <c r="H8" s="121"/>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9" t="s">
        <v>180</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no8zmdKhXPlL35HyERQl+OJSZhXx5U4qfTe5mQxj8cD6J0RloViSvp9yRL6Sp7Dii7Iumi2C/YmOiummcnokw==" saltValue="tfmM73JhHv4SK5ZTWaPMH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228</v>
      </c>
      <c r="C9" s="120"/>
      <c r="D9" s="120"/>
      <c r="E9" s="120"/>
      <c r="F9" s="121"/>
      <c r="G9" s="1"/>
    </row>
    <row r="10" spans="1:7" x14ac:dyDescent="0.25">
      <c r="A10" s="1"/>
      <c r="B10" s="116" t="s">
        <v>82</v>
      </c>
      <c r="C10" s="117"/>
      <c r="D10" s="118"/>
      <c r="E10" s="7">
        <v>0</v>
      </c>
      <c r="F10" s="8" t="s">
        <v>3</v>
      </c>
      <c r="G10" s="1"/>
    </row>
    <row r="11" spans="1:7" x14ac:dyDescent="0.25">
      <c r="A11" s="1"/>
      <c r="B11" s="122" t="s">
        <v>229</v>
      </c>
      <c r="C11" s="123"/>
      <c r="D11" s="124"/>
      <c r="E11" s="7">
        <v>0</v>
      </c>
      <c r="F11" s="8" t="s">
        <v>3</v>
      </c>
      <c r="G11" s="1"/>
    </row>
    <row r="12" spans="1:7" x14ac:dyDescent="0.25">
      <c r="A12" s="1"/>
      <c r="B12" s="137" t="s">
        <v>83</v>
      </c>
      <c r="C12" s="138"/>
      <c r="D12" s="139"/>
      <c r="E12" s="10">
        <f>E11-E10</f>
        <v>0</v>
      </c>
      <c r="F12" s="11" t="s">
        <v>3</v>
      </c>
      <c r="G12" s="1"/>
    </row>
    <row r="13" spans="1:7" x14ac:dyDescent="0.25">
      <c r="A13" s="1"/>
      <c r="B13" s="119" t="s">
        <v>78</v>
      </c>
      <c r="C13" s="120"/>
      <c r="D13" s="120"/>
      <c r="E13" s="120"/>
      <c r="F13" s="121"/>
      <c r="G13" s="1"/>
    </row>
    <row r="14" spans="1:7" x14ac:dyDescent="0.25">
      <c r="A14" s="1"/>
      <c r="B14" s="122" t="s">
        <v>230</v>
      </c>
      <c r="C14" s="123"/>
      <c r="D14" s="124"/>
      <c r="E14" s="7">
        <v>0</v>
      </c>
      <c r="F14" s="8" t="s">
        <v>3</v>
      </c>
      <c r="G14" s="1"/>
    </row>
    <row r="15" spans="1:7" x14ac:dyDescent="0.25">
      <c r="A15" s="1"/>
      <c r="B15" s="116" t="s">
        <v>231</v>
      </c>
      <c r="C15" s="117"/>
      <c r="D15" s="118"/>
      <c r="E15" s="7">
        <v>0</v>
      </c>
      <c r="F15" s="8" t="s">
        <v>3</v>
      </c>
      <c r="G15" s="1"/>
    </row>
    <row r="16" spans="1:7" x14ac:dyDescent="0.25">
      <c r="A16" s="1"/>
      <c r="B16" s="137" t="s">
        <v>83</v>
      </c>
      <c r="C16" s="138"/>
      <c r="D16" s="139"/>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9w+GSYUCToICyDmUUmJPgeBzbhbdeXtt+rR1iMtaafiUZO1qwIr0GKzE1mXk4VEykmwEGrex4DIMT8xG5G/Bg==" saltValue="j+jg5SRluS8wJg0DVZHBh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149</v>
      </c>
      <c r="C8" s="120"/>
      <c r="D8" s="120"/>
      <c r="E8" s="120"/>
      <c r="F8" s="120"/>
      <c r="G8" s="120"/>
      <c r="H8" s="120"/>
      <c r="I8" s="120"/>
      <c r="J8" s="120"/>
      <c r="K8" s="121"/>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j7rJX/yW2We7wg7qbfN2dafDRfLLfNv4zwKId39fxCitvWEoRtQusK1Z+6HvnxuS/puGllWqvZwWpnGK8e6wuw==" saltValue="zpOApTxQalmx8mfZh2mQf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1737576</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33" t="s">
        <v>144</v>
      </c>
      <c r="C18" s="12">
        <f>SUM(C10:C17)</f>
        <v>1737576</v>
      </c>
      <c r="D18" s="13" t="s">
        <v>3</v>
      </c>
      <c r="E18" s="12">
        <f>SUM(E10:E17)</f>
        <v>0</v>
      </c>
      <c r="F18" s="13" t="s">
        <v>3</v>
      </c>
      <c r="G18" s="1"/>
    </row>
    <row r="19" spans="1:7" x14ac:dyDescent="0.25">
      <c r="A19" s="1"/>
      <c r="B19" s="33" t="s">
        <v>233</v>
      </c>
      <c r="C19" s="12">
        <f>C18*(1+'Fane 15. Nøgletal'!C16)</f>
        <v>1877972.1407999999</v>
      </c>
      <c r="D19" s="13" t="s">
        <v>3</v>
      </c>
      <c r="E19" s="12">
        <f>E18*(1+'Fane 15. Nøgletal'!C16)</f>
        <v>0</v>
      </c>
      <c r="F19" s="13" t="s">
        <v>3</v>
      </c>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GUtbMtgHoYk2p4a3xNUcOp69WDXOLjDld6kvuFH2bWSbwO3YC+TD7htFAc9O3xLzVzL0Xcxe6+A/PrQUvGDNg==" saltValue="E8Nw8GK9ezGpEsQCXqwM4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260</v>
      </c>
      <c r="C8" s="120"/>
      <c r="D8" s="120"/>
      <c r="E8" s="120"/>
      <c r="F8" s="121"/>
      <c r="G8" s="1"/>
    </row>
    <row r="9" spans="1:7" x14ac:dyDescent="0.25">
      <c r="A9" s="1"/>
      <c r="B9" s="87" t="s">
        <v>17</v>
      </c>
      <c r="C9" s="87" t="s">
        <v>11</v>
      </c>
      <c r="D9" s="88"/>
      <c r="E9" s="87" t="s">
        <v>28</v>
      </c>
      <c r="F9" s="32"/>
      <c r="G9" s="1"/>
    </row>
    <row r="10" spans="1:7" x14ac:dyDescent="0.25">
      <c r="A10" s="1"/>
      <c r="B10" s="24" t="s">
        <v>273</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1"/>
      <c r="C23" s="151"/>
      <c r="D23" s="151"/>
      <c r="E23" s="151"/>
      <c r="F23" s="151"/>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1"/>
      <c r="C30" s="151"/>
      <c r="D30" s="151"/>
      <c r="E30" s="151"/>
      <c r="F30" s="151"/>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HCD36MUA2WnE6X6BZte7jgTAdZ6iaZMps/FiG61UWron/G5nFfTmxeTcm0b0jTUu7M2w9UTf+U4XT4T2VvZoQ==" saltValue="S5u8BYpqZ3iC3J2RWSTeQ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185</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9" t="s">
        <v>110</v>
      </c>
      <c r="C9" s="120"/>
      <c r="D9" s="120"/>
      <c r="E9" s="120"/>
      <c r="F9" s="121"/>
      <c r="G9" s="1"/>
    </row>
    <row r="10" spans="1:7" x14ac:dyDescent="0.25">
      <c r="A10" s="1"/>
      <c r="B10" s="143" t="s">
        <v>236</v>
      </c>
      <c r="C10" s="144"/>
      <c r="D10" s="145"/>
      <c r="E10" s="9">
        <v>0</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0</v>
      </c>
      <c r="F12" s="14" t="s">
        <v>3</v>
      </c>
      <c r="G12" s="1"/>
    </row>
    <row r="13" spans="1:7" x14ac:dyDescent="0.25">
      <c r="A13" s="1"/>
      <c r="B13" s="119" t="s">
        <v>111</v>
      </c>
      <c r="C13" s="120"/>
      <c r="D13" s="121"/>
      <c r="E13" s="12">
        <f>SUM(E10:E12)*(1+'Fane 15. Nøgletal'!C16)^2</f>
        <v>0</v>
      </c>
      <c r="F13" s="13" t="s">
        <v>3</v>
      </c>
      <c r="G13" s="1"/>
    </row>
    <row r="14" spans="1:7" x14ac:dyDescent="0.25">
      <c r="A14" s="1"/>
      <c r="B14" s="1"/>
      <c r="C14" s="1"/>
      <c r="D14" s="1"/>
      <c r="E14" s="1"/>
      <c r="F14" s="1"/>
      <c r="G14" s="1"/>
    </row>
    <row r="15" spans="1:7" ht="15" customHeight="1" x14ac:dyDescent="0.25">
      <c r="A15" s="1"/>
      <c r="B15" s="119" t="s">
        <v>124</v>
      </c>
      <c r="C15" s="120"/>
      <c r="D15" s="120"/>
      <c r="E15" s="120"/>
      <c r="F15" s="121"/>
      <c r="G15" s="1"/>
    </row>
    <row r="16" spans="1:7" x14ac:dyDescent="0.25">
      <c r="A16" s="1"/>
      <c r="B16" s="143" t="s">
        <v>236</v>
      </c>
      <c r="C16" s="144"/>
      <c r="D16" s="145"/>
      <c r="E16" s="9">
        <v>0</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0</v>
      </c>
      <c r="F18" s="14" t="s">
        <v>3</v>
      </c>
      <c r="G18" s="1"/>
    </row>
    <row r="19" spans="1:7" x14ac:dyDescent="0.25">
      <c r="A19" s="1"/>
      <c r="B19" s="119" t="s">
        <v>125</v>
      </c>
      <c r="C19" s="120"/>
      <c r="D19" s="121"/>
      <c r="E19" s="12">
        <f>SUM(E16:E18)*(1+'Fane 15. Nøgletal'!C16)^3</f>
        <v>0</v>
      </c>
      <c r="F19" s="13" t="s">
        <v>3</v>
      </c>
      <c r="G19" s="1"/>
    </row>
    <row r="20" spans="1:7" x14ac:dyDescent="0.25">
      <c r="A20" s="1"/>
      <c r="B20" s="1"/>
      <c r="C20" s="1"/>
      <c r="D20" s="1"/>
      <c r="E20" s="1"/>
      <c r="F20" s="1"/>
      <c r="G20" s="1"/>
    </row>
    <row r="21" spans="1:7" ht="15" customHeight="1" x14ac:dyDescent="0.25">
      <c r="A21" s="1"/>
      <c r="B21" s="119" t="s">
        <v>145</v>
      </c>
      <c r="C21" s="120"/>
      <c r="D21" s="120"/>
      <c r="E21" s="120"/>
      <c r="F21" s="121"/>
      <c r="G21" s="1"/>
    </row>
    <row r="22" spans="1:7" x14ac:dyDescent="0.25">
      <c r="A22" s="1"/>
      <c r="B22" s="143" t="s">
        <v>236</v>
      </c>
      <c r="C22" s="144"/>
      <c r="D22" s="145"/>
      <c r="E22" s="9">
        <v>0</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0</v>
      </c>
      <c r="F24" s="14" t="s">
        <v>3</v>
      </c>
      <c r="G24" s="1"/>
    </row>
    <row r="25" spans="1:7" x14ac:dyDescent="0.25">
      <c r="A25" s="1"/>
      <c r="B25" s="119" t="s">
        <v>146</v>
      </c>
      <c r="C25" s="120"/>
      <c r="D25" s="121"/>
      <c r="E25" s="12">
        <f>SUM(E22:E24)*(1+'Fane 15. Nøgletal'!C16)^4</f>
        <v>0</v>
      </c>
      <c r="F25" s="13" t="s">
        <v>3</v>
      </c>
      <c r="G25" s="1"/>
    </row>
    <row r="26" spans="1:7" x14ac:dyDescent="0.25">
      <c r="A26" s="1"/>
      <c r="B26" s="1"/>
      <c r="C26" s="1"/>
      <c r="D26" s="1"/>
      <c r="E26" s="1"/>
      <c r="F26" s="1"/>
      <c r="G26" s="1"/>
    </row>
    <row r="27" spans="1:7" ht="15" customHeight="1" x14ac:dyDescent="0.25">
      <c r="A27" s="1"/>
      <c r="B27" s="119" t="s">
        <v>237</v>
      </c>
      <c r="C27" s="120"/>
      <c r="D27" s="120"/>
      <c r="E27" s="120"/>
      <c r="F27" s="121"/>
      <c r="G27" s="1"/>
    </row>
    <row r="28" spans="1:7" ht="14.25" customHeight="1" x14ac:dyDescent="0.25">
      <c r="A28" s="1"/>
      <c r="B28" s="143" t="s">
        <v>236</v>
      </c>
      <c r="C28" s="144"/>
      <c r="D28" s="145"/>
      <c r="E28" s="9">
        <v>0</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0</v>
      </c>
      <c r="F30" s="14" t="s">
        <v>3</v>
      </c>
      <c r="G30" s="1"/>
    </row>
    <row r="31" spans="1:7" x14ac:dyDescent="0.25">
      <c r="A31" s="1"/>
      <c r="B31" s="119" t="s">
        <v>238</v>
      </c>
      <c r="C31" s="120"/>
      <c r="D31" s="121"/>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Y118yNJMASL96FzP6Q54zgPX1rv87pocgIweMWt0okb52ToFgScqB5P9lLfBe3gYiX/00UKYLbDugomVIzxqw==" saltValue="iaaq4OMZn5ofnE8kw7x8N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186</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RSLPxTx/ZUn83gLddI+zPj4PsZgH8PaCMA097HJxDfF7s5cv0jQnap4Y968g55kukZmoiHv1AA52XUQwoDunQ==" saltValue="28xSrP23IXdNZEy+FjTHA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187</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240</v>
      </c>
      <c r="C9" s="120"/>
      <c r="D9" s="120"/>
      <c r="E9" s="120"/>
      <c r="F9" s="121"/>
      <c r="G9" s="1"/>
    </row>
    <row r="10" spans="1:7" ht="26.25" customHeight="1" x14ac:dyDescent="0.25">
      <c r="A10" s="1"/>
      <c r="B10" s="31" t="s">
        <v>18</v>
      </c>
      <c r="C10" s="146" t="s">
        <v>11</v>
      </c>
      <c r="D10" s="148"/>
      <c r="E10" s="146" t="s">
        <v>28</v>
      </c>
      <c r="F10" s="148"/>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1"/>
      <c r="C21" s="151"/>
      <c r="D21" s="151"/>
      <c r="E21" s="151"/>
      <c r="F21" s="151"/>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1"/>
      <c r="C27" s="151"/>
      <c r="D27" s="151"/>
      <c r="E27" s="151"/>
      <c r="F27" s="151"/>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M9KHqX27gGuS5A3ILZ00kGF3G0H59JzYo0BjZp97/I8y5EI4aFmpzeD7BfnxIEheMHu3mCXDCQBOCQo41cXgg==" saltValue="mLqVKV0Mcq7amnf4ARZ1H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39170232.954320744</v>
      </c>
      <c r="D9" s="8" t="s">
        <v>3</v>
      </c>
      <c r="E9" s="1"/>
    </row>
    <row r="10" spans="1:5" ht="17.25" customHeight="1" x14ac:dyDescent="0.25">
      <c r="A10" s="1"/>
      <c r="B10" s="89" t="s">
        <v>36</v>
      </c>
      <c r="C10" s="7">
        <f>'Fane 11.1. Varige tillæg'!C19</f>
        <v>1877972.1407999999</v>
      </c>
      <c r="D10" s="8" t="s">
        <v>3</v>
      </c>
      <c r="E10" s="1"/>
    </row>
    <row r="11" spans="1:5" ht="17.25" customHeight="1" x14ac:dyDescent="0.25">
      <c r="A11" s="1"/>
      <c r="B11" s="89" t="s">
        <v>37</v>
      </c>
      <c r="C11" s="9">
        <f>'Fane 11.1. Varige tillæg'!E19</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3316694.971685756</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-298361.30159714306</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44066538.765209354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6071963.4781292798</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73">
        <f>'Fane 11.2. Engangstillæg'!C14</f>
        <v>0</v>
      </c>
      <c r="D26" s="8" t="s">
        <v>3</v>
      </c>
      <c r="E26" s="1"/>
    </row>
    <row r="27" spans="1:5" ht="15" customHeight="1" x14ac:dyDescent="0.25">
      <c r="A27" s="1"/>
      <c r="B27" s="89" t="s">
        <v>70</v>
      </c>
      <c r="C27" s="73">
        <f>'Fane 11.2. Engangstillæg'!E14</f>
        <v>0</v>
      </c>
      <c r="D27" s="8" t="s">
        <v>3</v>
      </c>
      <c r="E27" s="1"/>
    </row>
    <row r="28" spans="1:5" ht="15" customHeight="1" x14ac:dyDescent="0.25">
      <c r="A28" s="1"/>
      <c r="B28" s="89" t="s">
        <v>161</v>
      </c>
      <c r="C28" s="73">
        <f>-C26*('Fane 15. Nøgletal'!C33+'Fane 5. Individuelt eff. krav'!G9)</f>
        <v>0</v>
      </c>
      <c r="D28" s="8" t="s">
        <v>3</v>
      </c>
      <c r="E28" s="1"/>
    </row>
    <row r="29" spans="1:5" ht="15" customHeight="1" x14ac:dyDescent="0.25">
      <c r="A29" s="1"/>
      <c r="B29" s="89" t="s">
        <v>162</v>
      </c>
      <c r="C29" s="73">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50138502.243338637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jgGcb0IewEeALr/DbAfiPv3pNo/4KZco+YGKC1XST9534tqjpFV4sZ6cVhq+X3JYIsbd1y5y9BbUHlfXPjV2Q==" saltValue="Pc33zWRJ9vKoWNYaKPM3h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188</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MqPPmEhhrn6zRcotZNAtrVRP6ARQLjPPdOsVssAvGVUkD0YIXcpbioPZ10ApPRvjMbHwJRfDGvfojqb16q5PxQ==" saltValue="w+ucN0j6loNZDMXBuVmOG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44066538.765209354</v>
      </c>
      <c r="D9" s="8" t="s">
        <v>3</v>
      </c>
      <c r="E9" s="1"/>
    </row>
    <row r="10" spans="1:5" ht="15" customHeight="1" x14ac:dyDescent="0.25">
      <c r="A10" s="1"/>
      <c r="B10" s="26" t="s">
        <v>19</v>
      </c>
      <c r="C10" s="7">
        <f>SUM(C9:C9)*'Fane 15. Nøgletal'!C16</f>
        <v>3560576.3322289158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-316019.51687086839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47311095.580567397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6406216.6295621255</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53717312.210129522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vGGl+UguOFrav0Z1zUB/pqS5vZH8Kf8tLzsSETSz7pLUDteRnPgl6VorQX/yhH0c9cmDBy7U+sm6IMN4gDFEg==" saltValue="3XGAQ8Lv9HZkDbo1Rlr6S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47311095.580567397</v>
      </c>
      <c r="D9" s="8" t="s">
        <v>3</v>
      </c>
      <c r="E9" s="1"/>
    </row>
    <row r="10" spans="1:5" ht="15" customHeight="1" x14ac:dyDescent="0.25">
      <c r="A10" s="1"/>
      <c r="B10" s="26" t="s">
        <v>19</v>
      </c>
      <c r="C10" s="7">
        <f>SUM(C9:C9)*'Fane 15. Nøgletal'!C16</f>
        <v>3822736.5229098457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-334722.81595735386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50799109.287519887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6923838.9332307447</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57722948.22075063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yvV38c4YL66+ANlN+gTApg6U6Qgl77E6gtZqZEEWopvdHR3sxEX8XbY9NVB+Dx8ijJyNXFUzRE+G1KnSoNyyQ==" saltValue="V923iPnrscujG3fmRV0NF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50799109.287519887</v>
      </c>
      <c r="D9" s="8" t="s">
        <v>3</v>
      </c>
      <c r="E9" s="1"/>
      <c r="F9" s="1"/>
    </row>
    <row r="10" spans="1:6" ht="15" customHeight="1" x14ac:dyDescent="0.25">
      <c r="A10" s="1"/>
      <c r="B10" s="26" t="s">
        <v>19</v>
      </c>
      <c r="C10" s="7">
        <f>SUM(C9:C9)*'Fane 15. Nøgletal'!C16</f>
        <v>4104568.0304316068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-354533.05109697388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54549144.266854517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7483285.1190357888</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62032429.385890305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2/nZLrzmEKJXzDTJKlW2XYWFHW36JrnSEx097J0f1ASm5bvbVof2gYhGPSmYMbjQqXmRwW0YL6IHJMaGBFAd6Q==" saltValue="5V3kiaxGgQqkzQxS49pao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5" t="s">
        <v>205</v>
      </c>
      <c r="C3" s="115"/>
      <c r="D3" s="115"/>
      <c r="E3" s="1"/>
    </row>
    <row r="4" spans="1:5"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37182421.538835235</v>
      </c>
      <c r="D9" s="8" t="s">
        <v>3</v>
      </c>
      <c r="E9" s="1"/>
    </row>
    <row r="10" spans="1:5" x14ac:dyDescent="0.25">
      <c r="A10" s="1"/>
      <c r="B10" s="89" t="s">
        <v>36</v>
      </c>
      <c r="C10" s="7">
        <v>2177280.6504000002</v>
      </c>
      <c r="D10" s="8" t="s">
        <v>3</v>
      </c>
      <c r="E10" s="1"/>
    </row>
    <row r="11" spans="1:5" x14ac:dyDescent="0.25">
      <c r="A11" s="1"/>
      <c r="B11" s="89" t="s">
        <v>37</v>
      </c>
      <c r="C11" s="9">
        <v>258835.79280000002</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209427.73645607627</v>
      </c>
      <c r="D16" s="8" t="s">
        <v>3</v>
      </c>
      <c r="E16" s="1"/>
    </row>
    <row r="17" spans="1:5" x14ac:dyDescent="0.25">
      <c r="A17" s="1"/>
      <c r="B17" s="89" t="s">
        <v>10</v>
      </c>
      <c r="C17" s="41">
        <v>0</v>
      </c>
      <c r="D17" s="8" t="s">
        <v>3</v>
      </c>
      <c r="E17" s="1"/>
    </row>
    <row r="18" spans="1:5" x14ac:dyDescent="0.25">
      <c r="A18" s="1"/>
      <c r="B18" s="89" t="s">
        <v>23</v>
      </c>
      <c r="C18" s="41">
        <v>-243363.81195487306</v>
      </c>
      <c r="D18" s="8" t="s">
        <v>3</v>
      </c>
      <c r="E18" s="1"/>
    </row>
    <row r="19" spans="1:5" x14ac:dyDescent="0.25">
      <c r="A19" s="1"/>
      <c r="B19" s="89" t="s">
        <v>24</v>
      </c>
      <c r="C19" s="41">
        <v>-414368.95221569319</v>
      </c>
      <c r="D19" s="8" t="s">
        <v>3</v>
      </c>
      <c r="E19" s="47"/>
    </row>
    <row r="20" spans="1:5" x14ac:dyDescent="0.25">
      <c r="A20" s="1"/>
      <c r="B20" s="83" t="s">
        <v>21</v>
      </c>
      <c r="C20" s="10">
        <v>39170232.954320744</v>
      </c>
      <c r="D20" s="11" t="s">
        <v>3</v>
      </c>
      <c r="E20" s="1"/>
    </row>
    <row r="21" spans="1:5" x14ac:dyDescent="0.25">
      <c r="A21" s="1"/>
      <c r="B21" s="33" t="s">
        <v>12</v>
      </c>
      <c r="C21" s="28"/>
      <c r="D21" s="19"/>
      <c r="E21" s="1"/>
    </row>
    <row r="22" spans="1:5" x14ac:dyDescent="0.25">
      <c r="A22" s="1"/>
      <c r="B22" s="31" t="s">
        <v>12</v>
      </c>
      <c r="C22" s="10">
        <v>3469414.7501222403</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42639647.704442985</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GSkIeKsgXklktUIMwZ/kOKTn30cKJicA6+579xddS0fk6QEz8zrEWq28pBHip2c2Lyaj2NKp4vlHpgcWYzJ5g==" saltValue="vd+idgb/oadTePvscP3Yu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5" t="s">
        <v>91</v>
      </c>
      <c r="C2" s="115"/>
      <c r="D2" s="115"/>
      <c r="E2" s="115"/>
      <c r="F2" s="115"/>
      <c r="G2" s="115"/>
      <c r="H2" s="115"/>
      <c r="I2" s="1"/>
    </row>
    <row r="3" spans="1:9" ht="28.5" customHeight="1" x14ac:dyDescent="0.25">
      <c r="A3" s="1"/>
      <c r="B3" s="115"/>
      <c r="C3" s="115"/>
      <c r="D3" s="115"/>
      <c r="E3" s="115"/>
      <c r="F3" s="115"/>
      <c r="G3" s="115"/>
      <c r="H3" s="115"/>
      <c r="I3" s="1"/>
    </row>
    <row r="4" spans="1:9" x14ac:dyDescent="0.25">
      <c r="A4" s="1"/>
      <c r="B4" s="119" t="s">
        <v>46</v>
      </c>
      <c r="C4" s="120"/>
      <c r="D4" s="120"/>
      <c r="E4" s="120"/>
      <c r="F4" s="120"/>
      <c r="G4" s="120"/>
      <c r="H4" s="121"/>
      <c r="I4" s="1"/>
    </row>
    <row r="5" spans="1:9" x14ac:dyDescent="0.25">
      <c r="A5" s="1"/>
      <c r="B5" s="122" t="s">
        <v>38</v>
      </c>
      <c r="C5" s="123"/>
      <c r="D5" s="123"/>
      <c r="E5" s="123"/>
      <c r="F5" s="124"/>
      <c r="G5" s="63">
        <v>10327395.817690685</v>
      </c>
      <c r="H5" s="14" t="s">
        <v>3</v>
      </c>
      <c r="I5" s="1"/>
    </row>
    <row r="6" spans="1:9" x14ac:dyDescent="0.25">
      <c r="A6" s="1"/>
      <c r="B6" s="116" t="s">
        <v>102</v>
      </c>
      <c r="C6" s="117"/>
      <c r="D6" s="117"/>
      <c r="E6" s="117"/>
      <c r="F6" s="118"/>
      <c r="G6" s="66">
        <v>0</v>
      </c>
      <c r="H6" s="14" t="s">
        <v>3</v>
      </c>
      <c r="I6" s="1"/>
    </row>
    <row r="7" spans="1:9" x14ac:dyDescent="0.25">
      <c r="A7" s="1"/>
      <c r="B7" s="122" t="s">
        <v>39</v>
      </c>
      <c r="C7" s="123"/>
      <c r="D7" s="123"/>
      <c r="E7" s="123"/>
      <c r="F7" s="124"/>
      <c r="G7" s="23">
        <f>SUM(G5:G6)*'Fane 15. Nøgletal'!C33</f>
        <v>206547.91635381372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9" t="s">
        <v>47</v>
      </c>
      <c r="C10" s="120"/>
      <c r="D10" s="120"/>
      <c r="E10" s="120"/>
      <c r="F10" s="120"/>
      <c r="G10" s="120"/>
      <c r="H10" s="121"/>
      <c r="I10" s="1"/>
    </row>
    <row r="11" spans="1:9" x14ac:dyDescent="0.25">
      <c r="A11" s="1"/>
      <c r="B11" s="122" t="s">
        <v>40</v>
      </c>
      <c r="C11" s="123"/>
      <c r="D11" s="123"/>
      <c r="E11" s="123"/>
      <c r="F11" s="124"/>
      <c r="G11" s="23">
        <f>(G5-G7)*(1+'Fane 15. Nøgletal'!C10)</f>
        <v>10297962.739610268</v>
      </c>
      <c r="H11" s="14" t="s">
        <v>3</v>
      </c>
      <c r="I11" s="1"/>
    </row>
    <row r="12" spans="1:9" ht="15" customHeight="1" x14ac:dyDescent="0.25">
      <c r="A12" s="1"/>
      <c r="B12" s="122" t="s">
        <v>103</v>
      </c>
      <c r="C12" s="123"/>
      <c r="D12" s="123"/>
      <c r="E12" s="123"/>
      <c r="F12" s="124"/>
      <c r="G12" s="66">
        <v>0</v>
      </c>
      <c r="H12" s="14" t="s">
        <v>3</v>
      </c>
      <c r="I12" s="1"/>
    </row>
    <row r="13" spans="1:9" x14ac:dyDescent="0.25">
      <c r="A13" s="1"/>
      <c r="B13" s="116" t="s">
        <v>100</v>
      </c>
      <c r="C13" s="117"/>
      <c r="D13" s="117"/>
      <c r="E13" s="117"/>
      <c r="F13" s="118"/>
      <c r="G13" s="66">
        <v>0</v>
      </c>
      <c r="H13" s="14" t="s">
        <v>3</v>
      </c>
      <c r="I13" s="1"/>
    </row>
    <row r="14" spans="1:9" x14ac:dyDescent="0.25">
      <c r="A14" s="1"/>
      <c r="B14" s="125" t="s">
        <v>244</v>
      </c>
      <c r="C14" s="126"/>
      <c r="D14" s="126"/>
      <c r="E14" s="126"/>
      <c r="F14" s="127"/>
      <c r="G14" s="66">
        <v>0</v>
      </c>
      <c r="H14" s="14" t="s">
        <v>3</v>
      </c>
      <c r="I14" s="1"/>
    </row>
    <row r="15" spans="1:9" x14ac:dyDescent="0.25">
      <c r="A15" s="1"/>
      <c r="B15" s="122" t="s">
        <v>41</v>
      </c>
      <c r="C15" s="123"/>
      <c r="D15" s="123"/>
      <c r="E15" s="123"/>
      <c r="F15" s="124"/>
      <c r="G15" s="23">
        <f>SUM(G11:G14)*'Fane 15. Nøgletal'!C33</f>
        <v>205959.25479220535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9" t="s">
        <v>48</v>
      </c>
      <c r="C18" s="120"/>
      <c r="D18" s="120"/>
      <c r="E18" s="120"/>
      <c r="F18" s="120"/>
      <c r="G18" s="120"/>
      <c r="H18" s="121"/>
      <c r="I18" s="1"/>
    </row>
    <row r="19" spans="1:9" x14ac:dyDescent="0.25">
      <c r="A19" s="1"/>
      <c r="B19" s="122" t="s">
        <v>42</v>
      </c>
      <c r="C19" s="123"/>
      <c r="D19" s="123"/>
      <c r="E19" s="123"/>
      <c r="F19" s="124"/>
      <c r="G19" s="23">
        <f>(SUM(G11:G12,G14)-(G15))*(1+'Fane 15. Nøgletal'!C10)</f>
        <v>10268613.545802379</v>
      </c>
      <c r="H19" s="14" t="s">
        <v>3</v>
      </c>
      <c r="I19" s="1"/>
    </row>
    <row r="20" spans="1:9" x14ac:dyDescent="0.25">
      <c r="A20" s="1"/>
      <c r="B20" s="125" t="s">
        <v>245</v>
      </c>
      <c r="C20" s="126"/>
      <c r="D20" s="126"/>
      <c r="E20" s="126"/>
      <c r="F20" s="127"/>
      <c r="G20" s="66">
        <v>0</v>
      </c>
      <c r="H20" s="14" t="s">
        <v>3</v>
      </c>
      <c r="I20" s="1"/>
    </row>
    <row r="21" spans="1:9" x14ac:dyDescent="0.25">
      <c r="A21" s="1"/>
      <c r="B21" s="122" t="s">
        <v>43</v>
      </c>
      <c r="C21" s="123"/>
      <c r="D21" s="123"/>
      <c r="E21" s="123"/>
      <c r="F21" s="124"/>
      <c r="G21" s="23">
        <f>SUM(G19:G20)*'Fane 15. Nøgletal'!C33</f>
        <v>205372.27091604759</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9" t="s">
        <v>49</v>
      </c>
      <c r="C24" s="120"/>
      <c r="D24" s="120"/>
      <c r="E24" s="120"/>
      <c r="F24" s="120"/>
      <c r="G24" s="120"/>
      <c r="H24" s="121"/>
      <c r="I24" s="1"/>
    </row>
    <row r="25" spans="1:9" x14ac:dyDescent="0.25">
      <c r="A25" s="1"/>
      <c r="B25" s="122" t="s">
        <v>44</v>
      </c>
      <c r="C25" s="123"/>
      <c r="D25" s="123"/>
      <c r="E25" s="123"/>
      <c r="F25" s="124"/>
      <c r="G25" s="23">
        <f>(G19+G20-G21)*(1+'Fane 15. Nøgletal'!C12)</f>
        <v>10261487.128001591</v>
      </c>
      <c r="H25" s="14" t="s">
        <v>3</v>
      </c>
      <c r="I25" s="1"/>
    </row>
    <row r="26" spans="1:9" x14ac:dyDescent="0.25">
      <c r="A26" s="1"/>
      <c r="B26" s="125" t="s">
        <v>246</v>
      </c>
      <c r="C26" s="126"/>
      <c r="D26" s="126"/>
      <c r="E26" s="126"/>
      <c r="F26" s="127"/>
      <c r="G26" s="66">
        <v>0</v>
      </c>
      <c r="H26" s="14" t="s">
        <v>3</v>
      </c>
      <c r="I26" s="1"/>
    </row>
    <row r="27" spans="1:9" x14ac:dyDescent="0.25">
      <c r="A27" s="1"/>
      <c r="B27" s="122" t="s">
        <v>45</v>
      </c>
      <c r="C27" s="123"/>
      <c r="D27" s="123"/>
      <c r="E27" s="123"/>
      <c r="F27" s="124"/>
      <c r="G27" s="23">
        <f>(G25+G26)*'Fane 15. Nøgletal'!C33</f>
        <v>205229.74256003182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9" t="s">
        <v>52</v>
      </c>
      <c r="C30" s="120"/>
      <c r="D30" s="120"/>
      <c r="E30" s="120"/>
      <c r="F30" s="120"/>
      <c r="G30" s="120"/>
      <c r="H30" s="121"/>
      <c r="I30" s="1"/>
    </row>
    <row r="31" spans="1:9" x14ac:dyDescent="0.25">
      <c r="A31" s="1"/>
      <c r="B31" s="122" t="s">
        <v>53</v>
      </c>
      <c r="C31" s="123"/>
      <c r="D31" s="123"/>
      <c r="E31" s="123"/>
      <c r="F31" s="124"/>
      <c r="G31" s="23">
        <f>(G25+G26-G27)*(1+'Fane 15. Nøgletal'!C12)</f>
        <v>10254365.65593476</v>
      </c>
      <c r="H31" s="14" t="s">
        <v>3</v>
      </c>
      <c r="I31" s="1"/>
    </row>
    <row r="32" spans="1:9" x14ac:dyDescent="0.25">
      <c r="A32" s="1"/>
      <c r="B32" s="122" t="s">
        <v>243</v>
      </c>
      <c r="C32" s="123"/>
      <c r="D32" s="123"/>
      <c r="E32" s="123"/>
      <c r="F32" s="124"/>
      <c r="G32" s="66">
        <v>0</v>
      </c>
      <c r="H32" s="14" t="s">
        <v>3</v>
      </c>
      <c r="I32" s="1"/>
    </row>
    <row r="33" spans="1:9" x14ac:dyDescent="0.25">
      <c r="A33" s="1"/>
      <c r="B33" s="122" t="s">
        <v>54</v>
      </c>
      <c r="C33" s="123"/>
      <c r="D33" s="123"/>
      <c r="E33" s="123"/>
      <c r="F33" s="124"/>
      <c r="G33" s="23">
        <f>(G31+G32)*'Fane 15. Nøgletal'!C33</f>
        <v>205087.31311869522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9" t="s">
        <v>126</v>
      </c>
      <c r="C36" s="120"/>
      <c r="D36" s="120"/>
      <c r="E36" s="120"/>
      <c r="F36" s="120"/>
      <c r="G36" s="120"/>
      <c r="H36" s="121"/>
      <c r="I36" s="1"/>
    </row>
    <row r="37" spans="1:9" x14ac:dyDescent="0.25">
      <c r="A37" s="1"/>
      <c r="B37" s="122" t="s">
        <v>68</v>
      </c>
      <c r="C37" s="123"/>
      <c r="D37" s="123"/>
      <c r="E37" s="123"/>
      <c r="F37" s="124"/>
      <c r="G37" s="23">
        <f>(G31+G32-G33)*(1+'Fane 15. Nøgletal'!C14)</f>
        <v>10082440.96134736</v>
      </c>
      <c r="H37" s="14" t="s">
        <v>3</v>
      </c>
      <c r="I37" s="1"/>
    </row>
    <row r="38" spans="1:9" x14ac:dyDescent="0.25">
      <c r="A38" s="1"/>
      <c r="B38" s="122" t="s">
        <v>242</v>
      </c>
      <c r="C38" s="123"/>
      <c r="D38" s="123"/>
      <c r="E38" s="123"/>
      <c r="F38" s="124"/>
      <c r="G38" s="63">
        <v>0</v>
      </c>
      <c r="H38" s="14" t="s">
        <v>3</v>
      </c>
      <c r="I38" s="1"/>
    </row>
    <row r="39" spans="1:9" x14ac:dyDescent="0.25">
      <c r="A39" s="1"/>
      <c r="B39" s="122" t="s">
        <v>128</v>
      </c>
      <c r="C39" s="123"/>
      <c r="D39" s="123"/>
      <c r="E39" s="123"/>
      <c r="F39" s="124"/>
      <c r="G39" s="23">
        <f>(G37+G38)*'Fane 15. Nøgletal'!C33</f>
        <v>201648.81922694721</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9" t="s">
        <v>127</v>
      </c>
      <c r="C42" s="120"/>
      <c r="D42" s="120"/>
      <c r="E42" s="120"/>
      <c r="F42" s="120"/>
      <c r="G42" s="120"/>
      <c r="H42" s="121"/>
      <c r="I42" s="1"/>
    </row>
    <row r="43" spans="1:9" x14ac:dyDescent="0.25">
      <c r="A43" s="1"/>
      <c r="B43" s="122" t="s">
        <v>155</v>
      </c>
      <c r="C43" s="123"/>
      <c r="D43" s="123"/>
      <c r="E43" s="123"/>
      <c r="F43" s="124"/>
      <c r="G43" s="23">
        <f>(G37+G38-G39)*(1+'Fane 15. Nøgletal'!C14)</f>
        <v>9913398.7561894115</v>
      </c>
      <c r="H43" s="14" t="s">
        <v>3</v>
      </c>
      <c r="I43" s="1"/>
    </row>
    <row r="44" spans="1:9" x14ac:dyDescent="0.25">
      <c r="A44" s="1"/>
      <c r="B44" s="128" t="s">
        <v>157</v>
      </c>
      <c r="C44" s="129"/>
      <c r="D44" s="129"/>
      <c r="E44" s="129"/>
      <c r="F44" s="130"/>
      <c r="G44" s="72">
        <v>2254791.8415542403</v>
      </c>
      <c r="H44" s="14" t="s">
        <v>3</v>
      </c>
      <c r="I44" s="1"/>
    </row>
    <row r="45" spans="1:9" x14ac:dyDescent="0.25">
      <c r="A45" s="1"/>
      <c r="B45" s="122" t="s">
        <v>129</v>
      </c>
      <c r="C45" s="123"/>
      <c r="D45" s="123"/>
      <c r="E45" s="123"/>
      <c r="F45" s="124"/>
      <c r="G45" s="23">
        <f>SUM(G43:G44)*'Fane 15. Nøgletal'!C33</f>
        <v>243363.81195487306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9" t="s">
        <v>192</v>
      </c>
      <c r="C51" s="120"/>
      <c r="D51" s="120"/>
      <c r="E51" s="120"/>
      <c r="F51" s="120"/>
      <c r="G51" s="120"/>
      <c r="H51" s="121"/>
      <c r="I51" s="1"/>
    </row>
    <row r="52" spans="1:9" x14ac:dyDescent="0.25">
      <c r="A52" s="1"/>
      <c r="B52" s="122" t="s">
        <v>154</v>
      </c>
      <c r="C52" s="123"/>
      <c r="D52" s="123"/>
      <c r="E52" s="123"/>
      <c r="F52" s="124"/>
      <c r="G52" s="23">
        <f>(G43+G44-G45)*(1+'Fane 15. Nøgletal'!C16)</f>
        <v>12888352.790080514</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2029712.28977664</v>
      </c>
      <c r="H53" s="14" t="s">
        <v>3</v>
      </c>
      <c r="I53" s="1"/>
    </row>
    <row r="54" spans="1:9" x14ac:dyDescent="0.25">
      <c r="A54" s="1"/>
      <c r="B54" s="122" t="s">
        <v>210</v>
      </c>
      <c r="C54" s="123"/>
      <c r="D54" s="123"/>
      <c r="E54" s="123"/>
      <c r="F54" s="124"/>
      <c r="G54" s="23">
        <f>(G52)*'Fane 15. Nøgletal'!C33+(G53)*'Fane 15. Nøgletal'!C33</f>
        <v>298361.30159714306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9" t="s">
        <v>193</v>
      </c>
      <c r="C57" s="120"/>
      <c r="D57" s="120"/>
      <c r="E57" s="120"/>
      <c r="F57" s="120"/>
      <c r="G57" s="120"/>
      <c r="H57" s="121"/>
      <c r="I57" s="1"/>
    </row>
    <row r="58" spans="1:9" x14ac:dyDescent="0.25">
      <c r="A58" s="1"/>
      <c r="B58" s="79" t="s">
        <v>212</v>
      </c>
      <c r="C58" s="80"/>
      <c r="D58" s="80"/>
      <c r="E58" s="80"/>
      <c r="F58" s="81"/>
      <c r="G58" s="23">
        <f>(G52+G53-G54)*(1+'Fane 15. Nøgletal'!C16)</f>
        <v>15800975.84354342</v>
      </c>
      <c r="H58" s="14" t="s">
        <v>3</v>
      </c>
      <c r="I58" s="1"/>
    </row>
    <row r="59" spans="1:9" x14ac:dyDescent="0.25">
      <c r="A59" s="1"/>
      <c r="B59" s="79" t="s">
        <v>211</v>
      </c>
      <c r="C59" s="80"/>
      <c r="D59" s="80"/>
      <c r="E59" s="80"/>
      <c r="F59" s="81"/>
      <c r="G59" s="23">
        <f>(G58)*'Fane 15. Nøgletal'!C33</f>
        <v>316019.51687086839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9" t="s">
        <v>256</v>
      </c>
      <c r="C62" s="120"/>
      <c r="D62" s="120"/>
      <c r="E62" s="120"/>
      <c r="F62" s="120"/>
      <c r="G62" s="120"/>
      <c r="H62" s="121"/>
      <c r="I62" s="1"/>
    </row>
    <row r="63" spans="1:9" x14ac:dyDescent="0.25">
      <c r="A63" s="1"/>
      <c r="B63" s="79" t="s">
        <v>213</v>
      </c>
      <c r="C63" s="80"/>
      <c r="D63" s="80"/>
      <c r="E63" s="80"/>
      <c r="F63" s="81"/>
      <c r="G63" s="23">
        <f>(G58-G59)*(1+'Fane 15. Nøgletal'!C16)</f>
        <v>16736140.797867693</v>
      </c>
      <c r="H63" s="14" t="s">
        <v>3</v>
      </c>
      <c r="I63" s="1"/>
    </row>
    <row r="64" spans="1:9" x14ac:dyDescent="0.25">
      <c r="A64" s="1"/>
      <c r="B64" s="79" t="s">
        <v>214</v>
      </c>
      <c r="C64" s="80"/>
      <c r="D64" s="80"/>
      <c r="E64" s="80"/>
      <c r="F64" s="81"/>
      <c r="G64" s="23">
        <f>(G63)*'Fane 15. Nøgletal'!C33</f>
        <v>334722.81595735386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9" t="s">
        <v>257</v>
      </c>
      <c r="C67" s="120"/>
      <c r="D67" s="120"/>
      <c r="E67" s="120"/>
      <c r="F67" s="120"/>
      <c r="G67" s="120"/>
      <c r="H67" s="121"/>
      <c r="I67" s="1"/>
    </row>
    <row r="68" spans="1:9" x14ac:dyDescent="0.25">
      <c r="A68" s="1"/>
      <c r="B68" s="79" t="s">
        <v>213</v>
      </c>
      <c r="C68" s="80"/>
      <c r="D68" s="80"/>
      <c r="E68" s="80"/>
      <c r="F68" s="81"/>
      <c r="G68" s="23">
        <f>(G63-G64)*(1+'Fane 15. Nøgletal'!C16)</f>
        <v>17726652.554848693</v>
      </c>
      <c r="H68" s="14" t="s">
        <v>3</v>
      </c>
      <c r="I68" s="1"/>
    </row>
    <row r="69" spans="1:9" x14ac:dyDescent="0.25">
      <c r="A69" s="1"/>
      <c r="B69" s="79" t="s">
        <v>214</v>
      </c>
      <c r="C69" s="80"/>
      <c r="D69" s="80"/>
      <c r="E69" s="80"/>
      <c r="F69" s="81"/>
      <c r="G69" s="23">
        <f>(G68)*'Fane 15. Nøgletal'!C33</f>
        <v>354533.05109697388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HmUWWpln666q+1FcFi54Sx/bwQMLWxjkOFQwKfPzQXGD7RzZUuESnQXM7kQewl//iTH2M9rFqiDnXh6rScQ+fw==" saltValue="wRM8UGMDVw9wp+nJFClUn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9" t="s">
        <v>50</v>
      </c>
      <c r="C4" s="120"/>
      <c r="D4" s="120"/>
      <c r="E4" s="120"/>
      <c r="F4" s="120"/>
      <c r="G4" s="120"/>
      <c r="H4" s="121"/>
      <c r="I4" s="1"/>
    </row>
    <row r="5" spans="1:9" x14ac:dyDescent="0.25">
      <c r="A5" s="1"/>
      <c r="B5" s="122" t="s">
        <v>55</v>
      </c>
      <c r="C5" s="123"/>
      <c r="D5" s="123"/>
      <c r="E5" s="123"/>
      <c r="F5" s="124"/>
      <c r="G5" s="63">
        <v>28788870.583835226</v>
      </c>
      <c r="H5" s="14" t="s">
        <v>3</v>
      </c>
      <c r="I5" s="1"/>
    </row>
    <row r="6" spans="1:9" x14ac:dyDescent="0.25">
      <c r="A6" s="1"/>
      <c r="B6" s="122" t="s">
        <v>51</v>
      </c>
      <c r="C6" s="123"/>
      <c r="D6" s="123"/>
      <c r="E6" s="123"/>
      <c r="F6" s="124"/>
      <c r="G6" s="23">
        <f>G5*'Fane 15. Nøgletal'!C21</f>
        <v>261978.72231290056</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9" t="s">
        <v>56</v>
      </c>
      <c r="C9" s="120"/>
      <c r="D9" s="120"/>
      <c r="E9" s="120"/>
      <c r="F9" s="120"/>
      <c r="G9" s="120"/>
      <c r="H9" s="121"/>
      <c r="I9" s="1"/>
    </row>
    <row r="10" spans="1:9" x14ac:dyDescent="0.25">
      <c r="A10" s="1"/>
      <c r="B10" s="122" t="s">
        <v>57</v>
      </c>
      <c r="C10" s="123"/>
      <c r="D10" s="123"/>
      <c r="E10" s="123"/>
      <c r="F10" s="124"/>
      <c r="G10" s="23">
        <f>(G5-G6)*(1+'Fane 15. Nøgletal'!C10)</f>
        <v>29026112.469098967</v>
      </c>
      <c r="H10" s="14" t="s">
        <v>3</v>
      </c>
      <c r="I10" s="1"/>
    </row>
    <row r="11" spans="1:9" x14ac:dyDescent="0.25">
      <c r="A11" s="1"/>
      <c r="B11" s="122" t="s">
        <v>104</v>
      </c>
      <c r="C11" s="123"/>
      <c r="D11" s="123"/>
      <c r="E11" s="123"/>
      <c r="F11" s="124"/>
      <c r="G11" s="63">
        <v>-510344.75670940749</v>
      </c>
      <c r="H11" s="14" t="s">
        <v>3</v>
      </c>
      <c r="I11" s="1"/>
    </row>
    <row r="12" spans="1:9" x14ac:dyDescent="0.25">
      <c r="A12" s="1"/>
      <c r="B12" s="125" t="s">
        <v>247</v>
      </c>
      <c r="C12" s="126"/>
      <c r="D12" s="126"/>
      <c r="E12" s="126"/>
      <c r="F12" s="127"/>
      <c r="G12" s="66">
        <v>0</v>
      </c>
      <c r="H12" s="14" t="s">
        <v>3</v>
      </c>
      <c r="I12" s="1"/>
    </row>
    <row r="13" spans="1:9" x14ac:dyDescent="0.25">
      <c r="A13" s="1"/>
      <c r="B13" s="122" t="s">
        <v>58</v>
      </c>
      <c r="C13" s="123"/>
      <c r="D13" s="123"/>
      <c r="E13" s="123"/>
      <c r="F13" s="124"/>
      <c r="G13" s="23">
        <f>SUM(G10:G12)*'Fane 15. Nøgletal'!C22</f>
        <v>504729.08850929519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9" t="s">
        <v>59</v>
      </c>
      <c r="C16" s="120"/>
      <c r="D16" s="120"/>
      <c r="E16" s="120"/>
      <c r="F16" s="120"/>
      <c r="G16" s="120"/>
      <c r="H16" s="121"/>
      <c r="I16" s="1"/>
    </row>
    <row r="17" spans="1:9" x14ac:dyDescent="0.25">
      <c r="A17" s="1"/>
      <c r="B17" s="122" t="s">
        <v>60</v>
      </c>
      <c r="C17" s="123"/>
      <c r="D17" s="123"/>
      <c r="E17" s="123"/>
      <c r="F17" s="124"/>
      <c r="G17" s="23">
        <f>(SUM(G10:G12)-G13)*(1+'Fane 15. Nøgletal'!C10)</f>
        <v>28501231.799798168</v>
      </c>
      <c r="H17" s="14" t="s">
        <v>3</v>
      </c>
      <c r="I17" s="1"/>
    </row>
    <row r="18" spans="1:9" x14ac:dyDescent="0.25">
      <c r="A18" s="1"/>
      <c r="B18" s="125" t="s">
        <v>248</v>
      </c>
      <c r="C18" s="126"/>
      <c r="D18" s="126"/>
      <c r="E18" s="126"/>
      <c r="F18" s="127"/>
      <c r="G18" s="63">
        <v>0</v>
      </c>
      <c r="H18" s="14" t="s">
        <v>3</v>
      </c>
      <c r="I18" s="1"/>
    </row>
    <row r="19" spans="1:9" x14ac:dyDescent="0.25">
      <c r="A19" s="1"/>
      <c r="B19" s="122" t="s">
        <v>61</v>
      </c>
      <c r="C19" s="123"/>
      <c r="D19" s="123"/>
      <c r="E19" s="123"/>
      <c r="F19" s="124"/>
      <c r="G19" s="23">
        <f>G17*'Fane 15. Nøgletal'!C22+G18*'Fane 15. Nøgletal'!C23</f>
        <v>504471.80285642762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9" t="s">
        <v>62</v>
      </c>
      <c r="C22" s="120"/>
      <c r="D22" s="120"/>
      <c r="E22" s="120"/>
      <c r="F22" s="120"/>
      <c r="G22" s="120"/>
      <c r="H22" s="121"/>
      <c r="I22" s="1"/>
    </row>
    <row r="23" spans="1:9" x14ac:dyDescent="0.25">
      <c r="A23" s="1"/>
      <c r="B23" s="122" t="s">
        <v>63</v>
      </c>
      <c r="C23" s="123"/>
      <c r="D23" s="123"/>
      <c r="E23" s="123"/>
      <c r="F23" s="124"/>
      <c r="G23" s="23">
        <f>(G17+G18-G19)*(1+'Fane 15. Nøgletal'!C12)</f>
        <v>28548296.168881495</v>
      </c>
      <c r="H23" s="14" t="s">
        <v>3</v>
      </c>
      <c r="I23" s="1"/>
    </row>
    <row r="24" spans="1:9" x14ac:dyDescent="0.25">
      <c r="A24" s="1"/>
      <c r="B24" s="125" t="s">
        <v>249</v>
      </c>
      <c r="C24" s="126"/>
      <c r="D24" s="126"/>
      <c r="E24" s="126"/>
      <c r="F24" s="127"/>
      <c r="G24" s="63">
        <v>0</v>
      </c>
      <c r="H24" s="14" t="s">
        <v>3</v>
      </c>
      <c r="I24" s="1"/>
    </row>
    <row r="25" spans="1:9" x14ac:dyDescent="0.25">
      <c r="A25" s="1"/>
      <c r="B25" s="122" t="s">
        <v>64</v>
      </c>
      <c r="C25" s="123"/>
      <c r="D25" s="123"/>
      <c r="E25" s="123"/>
      <c r="F25" s="124"/>
      <c r="G25" s="23">
        <f>(G23+G24)*'Fane 15. Nøgletal'!C24</f>
        <v>810771.61119623447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9" t="s">
        <v>65</v>
      </c>
      <c r="C28" s="120"/>
      <c r="D28" s="120"/>
      <c r="E28" s="120"/>
      <c r="F28" s="120"/>
      <c r="G28" s="120"/>
      <c r="H28" s="121"/>
      <c r="I28" s="1"/>
    </row>
    <row r="29" spans="1:9" x14ac:dyDescent="0.25">
      <c r="A29" s="1"/>
      <c r="B29" s="122" t="s">
        <v>66</v>
      </c>
      <c r="C29" s="123"/>
      <c r="D29" s="123"/>
      <c r="E29" s="123"/>
      <c r="F29" s="124"/>
      <c r="G29" s="23">
        <f>(G23+G24-G25)*(1+'Fane 15. Nøgletal'!C12)</f>
        <v>28283953.79147166</v>
      </c>
      <c r="H29" s="14" t="s">
        <v>3</v>
      </c>
      <c r="I29" s="1"/>
    </row>
    <row r="30" spans="1:9" x14ac:dyDescent="0.25">
      <c r="A30" s="1"/>
      <c r="B30" s="122" t="s">
        <v>250</v>
      </c>
      <c r="C30" s="123"/>
      <c r="D30" s="123"/>
      <c r="E30" s="123"/>
      <c r="F30" s="124"/>
      <c r="G30" s="63">
        <v>0</v>
      </c>
      <c r="H30" s="14" t="s">
        <v>3</v>
      </c>
      <c r="I30" s="1"/>
    </row>
    <row r="31" spans="1:9" x14ac:dyDescent="0.25">
      <c r="A31" s="1"/>
      <c r="B31" s="122" t="s">
        <v>67</v>
      </c>
      <c r="C31" s="123"/>
      <c r="D31" s="123"/>
      <c r="E31" s="123"/>
      <c r="F31" s="124"/>
      <c r="G31" s="23">
        <f>G29*'Fane 15. Nøgletal'!C24+G30*'Fane 15. Nøgletal'!C25</f>
        <v>803264.28767779516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9" t="s">
        <v>130</v>
      </c>
      <c r="C34" s="120"/>
      <c r="D34" s="120"/>
      <c r="E34" s="120"/>
      <c r="F34" s="120"/>
      <c r="G34" s="120"/>
      <c r="H34" s="121"/>
      <c r="I34" s="1"/>
    </row>
    <row r="35" spans="1:9" x14ac:dyDescent="0.25">
      <c r="A35" s="1"/>
      <c r="B35" s="122" t="s">
        <v>215</v>
      </c>
      <c r="C35" s="123"/>
      <c r="D35" s="123"/>
      <c r="E35" s="123"/>
      <c r="F35" s="124"/>
      <c r="G35" s="23">
        <f>(G29+G30-G31)*(1+'Fane 15. Nøgletal'!C14)</f>
        <v>27571375.779156387</v>
      </c>
      <c r="H35" s="14" t="s">
        <v>3</v>
      </c>
      <c r="I35" s="1"/>
    </row>
    <row r="36" spans="1:9" x14ac:dyDescent="0.25">
      <c r="A36" s="1"/>
      <c r="B36" s="122" t="s">
        <v>251</v>
      </c>
      <c r="C36" s="123"/>
      <c r="D36" s="123"/>
      <c r="E36" s="123"/>
      <c r="F36" s="124"/>
      <c r="G36" s="63">
        <v>753647.56012122019</v>
      </c>
      <c r="H36" s="14" t="s">
        <v>3</v>
      </c>
      <c r="I36" s="1"/>
    </row>
    <row r="37" spans="1:9" x14ac:dyDescent="0.25">
      <c r="A37" s="1"/>
      <c r="B37" s="122" t="s">
        <v>131</v>
      </c>
      <c r="C37" s="123"/>
      <c r="D37" s="123"/>
      <c r="E37" s="123"/>
      <c r="F37" s="124"/>
      <c r="G37" s="23">
        <f>(G35+G36)*'Fane 15. Nøgletal'!C26</f>
        <v>419210.34542130859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9" t="s">
        <v>151</v>
      </c>
      <c r="C40" s="120"/>
      <c r="D40" s="120"/>
      <c r="E40" s="120"/>
      <c r="F40" s="120"/>
      <c r="G40" s="120"/>
      <c r="H40" s="121"/>
      <c r="I40" s="1"/>
    </row>
    <row r="41" spans="1:9" x14ac:dyDescent="0.25">
      <c r="A41" s="1"/>
      <c r="B41" s="122" t="s">
        <v>216</v>
      </c>
      <c r="C41" s="123"/>
      <c r="D41" s="123"/>
      <c r="E41" s="123"/>
      <c r="F41" s="124"/>
      <c r="G41" s="23">
        <f>(G35+G36-G37)*(1+'Fane 15. Nøgletal'!C14)</f>
        <v>27997902.176736027</v>
      </c>
      <c r="H41" s="14" t="s">
        <v>3</v>
      </c>
      <c r="I41" s="1"/>
    </row>
    <row r="42" spans="1:9" x14ac:dyDescent="0.25">
      <c r="A42" s="1"/>
      <c r="B42" s="40" t="s">
        <v>156</v>
      </c>
      <c r="C42" s="80"/>
      <c r="D42" s="80"/>
      <c r="E42" s="80"/>
      <c r="F42" s="81"/>
      <c r="G42" s="23">
        <v>268050.34702368005</v>
      </c>
      <c r="H42" s="14" t="s">
        <v>3</v>
      </c>
      <c r="I42" s="1"/>
    </row>
    <row r="43" spans="1:9" x14ac:dyDescent="0.25">
      <c r="A43" s="1"/>
      <c r="B43" s="122" t="s">
        <v>132</v>
      </c>
      <c r="C43" s="123"/>
      <c r="D43" s="123"/>
      <c r="E43" s="123"/>
      <c r="F43" s="124"/>
      <c r="G43" s="23">
        <f>(G41)*'Fane 15. Nøgletal'!C26+G42*'Fane 15. Nøgletal'!C27</f>
        <v>414368.95221569319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9" t="s">
        <v>259</v>
      </c>
      <c r="C52" s="120"/>
      <c r="D52" s="120"/>
      <c r="E52" s="120"/>
      <c r="F52" s="120"/>
      <c r="G52" s="120"/>
      <c r="H52" s="121"/>
      <c r="I52" s="1"/>
    </row>
    <row r="53" spans="1:9" x14ac:dyDescent="0.25">
      <c r="A53" s="1"/>
      <c r="B53" s="122" t="s">
        <v>217</v>
      </c>
      <c r="C53" s="123"/>
      <c r="D53" s="123"/>
      <c r="E53" s="123"/>
      <c r="F53" s="124"/>
      <c r="G53" s="23">
        <f>(G41+G42-G43)*(1+'Fane 15. Nøgletal'!C16)</f>
        <v>30101991.524124771</v>
      </c>
      <c r="H53" s="14" t="s">
        <v>3</v>
      </c>
      <c r="I53" s="1"/>
    </row>
    <row r="54" spans="1:9" x14ac:dyDescent="0.25">
      <c r="A54" s="1"/>
      <c r="B54" s="79" t="s">
        <v>195</v>
      </c>
      <c r="C54" s="80"/>
      <c r="D54" s="80"/>
      <c r="E54" s="80"/>
      <c r="F54" s="81"/>
      <c r="G54" s="90">
        <f>('Fane 2.1. Økonomisk ramme 2024'!C11+'Fane 2.1. Økonomisk ramme 2024'!C13+'Fane 2.1. Økonomisk ramme 2024'!C15)*(1+'Fane 15. Nøgletal'!C16)</f>
        <v>0</v>
      </c>
      <c r="H54" s="14" t="s">
        <v>3</v>
      </c>
      <c r="I54" s="1"/>
    </row>
    <row r="55" spans="1:9" x14ac:dyDescent="0.25">
      <c r="A55" s="1"/>
      <c r="B55" s="122" t="s">
        <v>218</v>
      </c>
      <c r="C55" s="123"/>
      <c r="D55" s="123"/>
      <c r="E55" s="123"/>
      <c r="F55" s="124"/>
      <c r="G55" s="90">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9" t="s">
        <v>258</v>
      </c>
      <c r="C58" s="120"/>
      <c r="D58" s="120"/>
      <c r="E58" s="120"/>
      <c r="F58" s="120"/>
      <c r="G58" s="120"/>
      <c r="H58" s="121"/>
      <c r="I58" s="1"/>
    </row>
    <row r="59" spans="1:9" x14ac:dyDescent="0.25">
      <c r="A59" s="1"/>
      <c r="B59" s="122" t="s">
        <v>219</v>
      </c>
      <c r="C59" s="123"/>
      <c r="D59" s="123"/>
      <c r="E59" s="123"/>
      <c r="F59" s="124"/>
      <c r="G59" s="23">
        <f>(G53+G54-G55)*(1+'Fane 15. Nøgletal'!C16)</f>
        <v>32534232.439274054</v>
      </c>
      <c r="H59" s="14" t="s">
        <v>3</v>
      </c>
      <c r="I59" s="1"/>
    </row>
    <row r="60" spans="1:9" x14ac:dyDescent="0.25">
      <c r="A60" s="1"/>
      <c r="B60" s="122" t="s">
        <v>220</v>
      </c>
      <c r="C60" s="123"/>
      <c r="D60" s="123"/>
      <c r="E60" s="123"/>
      <c r="F60" s="124"/>
      <c r="G60" s="90">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9" t="s">
        <v>141</v>
      </c>
      <c r="C63" s="120"/>
      <c r="D63" s="120"/>
      <c r="E63" s="120"/>
      <c r="F63" s="120"/>
      <c r="G63" s="120"/>
      <c r="H63" s="121"/>
      <c r="I63" s="1"/>
    </row>
    <row r="64" spans="1:9" x14ac:dyDescent="0.25">
      <c r="A64" s="1"/>
      <c r="B64" s="122" t="s">
        <v>221</v>
      </c>
      <c r="C64" s="123"/>
      <c r="D64" s="123"/>
      <c r="E64" s="123"/>
      <c r="F64" s="124"/>
      <c r="G64" s="23">
        <f>(G59-G60)*(1+'Fane 15. Nøgletal'!C16)</f>
        <v>35162998.420367397</v>
      </c>
      <c r="H64" s="14" t="s">
        <v>3</v>
      </c>
      <c r="I64" s="1"/>
    </row>
    <row r="65" spans="1:9" x14ac:dyDescent="0.25">
      <c r="A65" s="1"/>
      <c r="B65" s="122" t="s">
        <v>222</v>
      </c>
      <c r="C65" s="123"/>
      <c r="D65" s="123"/>
      <c r="E65" s="123"/>
      <c r="F65" s="124"/>
      <c r="G65" s="90">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9" t="s">
        <v>223</v>
      </c>
      <c r="C68" s="120"/>
      <c r="D68" s="120"/>
      <c r="E68" s="120"/>
      <c r="F68" s="120"/>
      <c r="G68" s="120"/>
      <c r="H68" s="121"/>
      <c r="I68" s="1"/>
    </row>
    <row r="69" spans="1:9" x14ac:dyDescent="0.25">
      <c r="A69" s="1"/>
      <c r="B69" s="122" t="s">
        <v>221</v>
      </c>
      <c r="C69" s="123"/>
      <c r="D69" s="123"/>
      <c r="E69" s="123"/>
      <c r="F69" s="124"/>
      <c r="G69" s="23">
        <f>(G64-G65)*(1+'Fane 15. Nøgletal'!C16)</f>
        <v>38004168.692733079</v>
      </c>
      <c r="H69" s="14" t="s">
        <v>3</v>
      </c>
      <c r="I69" s="1"/>
    </row>
    <row r="70" spans="1:9" x14ac:dyDescent="0.25">
      <c r="A70" s="1"/>
      <c r="B70" s="122" t="s">
        <v>222</v>
      </c>
      <c r="C70" s="123"/>
      <c r="D70" s="123"/>
      <c r="E70" s="123"/>
      <c r="F70" s="124"/>
      <c r="G70" s="90">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yLV0Fyb5tQVTlz9QpXyqcCgs2lxeBGXIP6aYkfbHRwIIkKX46hWD1mQzXrrqEi1y9hcgl0iK0CctX7REL5c8CQ==" saltValue="Q7GwjMRUCVyVvGGB9yARV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10</v>
      </c>
      <c r="C8" s="120"/>
      <c r="D8" s="120"/>
      <c r="E8" s="120"/>
      <c r="F8" s="120"/>
      <c r="G8" s="121"/>
      <c r="H8" s="1"/>
    </row>
    <row r="9" spans="1:8" x14ac:dyDescent="0.25">
      <c r="A9" s="1"/>
      <c r="B9" s="122" t="s">
        <v>271</v>
      </c>
      <c r="C9" s="123"/>
      <c r="D9" s="123"/>
      <c r="E9" s="123"/>
      <c r="F9" s="124"/>
      <c r="G9" s="22">
        <v>0</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apWOxGVHjNseVsdKUyjpOOJ2ZjR7S4JWEwluW3Gb8+RFNMsIbAGiihXThQ4ZPya9GITPJGW/JpSV3SBIblCXdw==" saltValue="1LOXWSJtl/ckzahhf7mmp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2023-09-07T13:31:15Z</dcterms:modified>
</cp:coreProperties>
</file>