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Brønderslev Vand AS (V035)\ØR2024\"/>
    </mc:Choice>
  </mc:AlternateContent>
  <xr:revisionPtr revIDLastSave="0" documentId="13_ncr:1_{BBD9C658-E324-4733-B45D-B4B5DE4BE4F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iterate="1" iterateCount="1"/>
</workbook>
</file>

<file path=xl/calcChain.xml><?xml version="1.0" encoding="utf-8"?>
<calcChain xmlns="http://schemas.openxmlformats.org/spreadsheetml/2006/main">
  <c r="C34" i="2" l="1"/>
  <c r="C19" i="19" l="1"/>
  <c r="C20" i="19" s="1"/>
  <c r="E23" i="41" l="1"/>
  <c r="E31" i="41" l="1"/>
  <c r="E33" i="41" s="1"/>
  <c r="E27" i="41"/>
  <c r="C29" i="2" s="1"/>
  <c r="C8" i="2"/>
  <c r="C17" i="22" l="1"/>
  <c r="C17" i="15"/>
  <c r="C13" i="29"/>
  <c r="C14" i="29" s="1"/>
  <c r="E14" i="39" l="1"/>
  <c r="C14" i="39"/>
  <c r="C31" i="2" l="1"/>
  <c r="E15" i="39" l="1"/>
  <c r="C15" i="39"/>
  <c r="J11" i="11"/>
  <c r="H11" i="11"/>
  <c r="F10" i="11" l="1"/>
  <c r="F11" i="11" s="1"/>
  <c r="C19" i="23" l="1"/>
  <c r="C19" i="22"/>
  <c r="C19" i="15"/>
  <c r="G18" i="40"/>
  <c r="E13" i="29" l="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<sst xmlns="http://schemas.openxmlformats.org/spreadsheetml/2006/main" count="552" uniqueCount="264">
  <si>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</si>
  <si>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</si>
  <si>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</si>
  <si>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</si>
  <si>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</si>
  <si>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</si>
  <si>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</si>
  <si>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</si>
  <si>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</si>
  <si>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</si>
  <si>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</si>
  <si>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</si>
  <si>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</si>
  <si>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</si>
  <si>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</si>
  <si>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</si>
  <si>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</si>
  <si>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</si>
  <si>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</si>
  <si>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</si>
  <si>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</si>
  <si>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</si>
  <si>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</si>
  <si>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</si>
  <si>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</si>
  <si>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</si>
  <si>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</si>
  <si>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</si>
  <si>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</si>
  <si>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</si>
  <si>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</si>
  <si>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</si>
  <si>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</si>
  <si>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</si>
  <si>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</si>
  <si>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</si>
  <si>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</si>
  <si>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</si>
  <si>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</si>
  <si>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</si>
  <si>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</si>
  <si>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</si>
  <si>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</si>
  <si>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</si>
  <si>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</si>
  <si>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</si>
  <si>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</si>
  <si>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</si>
  <si>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</si>
  <si>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</si>
  <si>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</si>
  <si>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</si>
  <si>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</si>
  <si>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</si>
  <si>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</si>
  <si>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</si>
  <si>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</si>
  <si>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</si>
  <si>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</si>
  <si>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</si>
  <si>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</si>
  <si>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</si>
  <si>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</si>
  <si>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</si>
  <si>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</si>
  <si>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</si>
  <si>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</si>
  <si>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</si>
  <si>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</si>
  <si>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</si>
  <si>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</si>
  <si>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</si>
  <si>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</si>
  <si>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</si>
  <si>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</si>
  <si>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</si>
  <si>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</si>
  <si>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</si>
  <si>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</si>
  <si>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</si>
  <si>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</si>
  <si>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</si>
  <si>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</si>
  <si>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</si>
  <si>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</si>
  <si>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</si>
  <si>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</si>
  <si>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</si>
  <si>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</si>
  <si>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</si>
  <si>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</si>
  <si>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</si>
  <si>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</si>
  <si>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</si>
  <si>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</si>
  <si>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</si>
  <si>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</si>
  <si>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</si>
  <si>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</si>
  <si>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</si>
  <si>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</si>
  <si>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</si>
  <si>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</si>
  <si>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</si>
  <si>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</si>
  <si>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</si>
  <si>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</si>
  <si>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</si>
  <si>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</si>
  <si>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</si>
  <si>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</si>
  <si>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</si>
  <si>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</si>
  <si>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</si>
  <si>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</si>
  <si>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</si>
  <si>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</si>
  <si>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</si>
  <si>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</si>
  <si>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</si>
  <si>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</si>
  <si>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</si>
  <si>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</si>
  <si>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</si>
  <si>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</si>
  <si>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</si>
  <si>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</si>
  <si>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</si>
  <si>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</si>
  <si>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</si>
  <si>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</si>
  <si>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</si>
  <si>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</si>
  <si>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</si>
  <si>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</si>
  <si>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</si>
  <si>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</si>
  <si>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</si>
  <si>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</si>
  <si>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</si>
  <si>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</si>
  <si>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</si>
  <si>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</si>
  <si>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</si>
  <si>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</si>
  <si>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</si>
  <si>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</si>
  <si>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</si>
  <si>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</si>
  <si>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</si>
  <si>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</si>
  <si>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</si>
  <si>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</si>
  <si>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</si>
  <si>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</si>
  <si>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</si>
  <si>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</si>
  <si>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</si>
  <si>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</si>
  <si>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</si>
  <si>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</si>
  <si>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</si>
  <si>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</si>
  <si>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</si>
  <si>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</si>
  <si>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</si>
  <si>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</si>
  <si>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</si>
  <si>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</si>
  <si>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</si>
  <si>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</si>
  <si>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</si>
  <si>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</si>
  <si>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</si>
  <si>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</si>
  <si>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</si>
  <si>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</si>
  <si>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</si>
  <si>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</si>
  <si>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</si>
  <si>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</si>
  <si>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</si>
  <si>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</si>
  <si>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</si>
  <si>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</si>
  <si>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</si>
  <si>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</si>
  <si>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</si>
  <si>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</si>
  <si>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</si>
  <si>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</si>
  <si>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</si>
  <si>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</si>
  <si>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</si>
  <si>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</si>
  <si>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</si>
  <si>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</si>
  <si>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</si>
  <si>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</si>
  <si>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</si>
  <si>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</si>
  <si>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</si>
  <si>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</si>
  <si>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</si>
  <si>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</si>
  <si>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</si>
  <si>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</si>
  <si>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</si>
  <si>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</si>
  <si>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</si>
  <si>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</si>
  <si>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</si>
  <si>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</si>
  <si>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</si>
  <si>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</si>
  <si>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</si>
  <si>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</si>
  <si>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</si>
  <si>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</si>
  <si>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</si>
  <si>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</si>
  <si>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</si>
  <si>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</si>
  <si>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</si>
  <si>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</si>
  <si>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</si>
  <si>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</si>
  <si>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</si>
  <si>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</si>
  <si>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</si>
  <si>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</si>
  <si>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</si>
  <si>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</si>
  <si>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</si>
  <si>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</si>
  <si>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</si>
  <si>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</si>
  <si>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</si>
  <si>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</si>
  <si>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</si>
  <si>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</si>
  <si>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</si>
  <si>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</si>
  <si>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Ingen engangstillæg</t>
  </si>
  <si>
    <t>Afgift for ledningsført vand</t>
  </si>
  <si>
    <t>Afgift til Forsyningssekretariatet</t>
  </si>
  <si>
    <t>Køb af ydelser og produkter fra andre vandselskaber</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</si>
  <si>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</si>
  <si>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</si>
  <si>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</si>
  <si>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</si>
  <si>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</si>
  <si>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</si>
  <si>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</si>
  <si>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</si>
  <si>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</si>
  <si>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</si>
  <si>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</si>
  <si>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</si>
  <si>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</si>
  <si>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</si>
  <si>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Erstatninger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</si>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</sst>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9" fontId="0" fillId="0" borderId="0" xfId="4"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c/0AUCwCUPfjieAHY1Lb31OZuSIzou2/XIM8DEFfv1NytZP6GgDXEb6fdoigBjxdq4+5VKWFmgA3N6n7NMBEAg==" saltValue="SVW0/FGKHRNCpeOTLjs/g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244</v>
      </c>
      <c r="C10" s="9">
        <v>5719629</v>
      </c>
      <c r="D10" s="14" t="s">
        <v>3</v>
      </c>
      <c r="E10" s="1"/>
      <c r="F10" s="1"/>
    </row>
    <row r="11" spans="1:6" x14ac:dyDescent="0.25">
      <c r="A11" s="1"/>
      <c r="B11" s="68" t="s">
        <v>245</v>
      </c>
      <c r="C11" s="9">
        <v>68945</v>
      </c>
      <c r="D11" s="14" t="s">
        <v>3</v>
      </c>
      <c r="E11" s="1"/>
      <c r="F11" s="1"/>
    </row>
    <row r="12" spans="1:6" x14ac:dyDescent="0.25">
      <c r="A12" s="1"/>
      <c r="B12" s="68" t="s">
        <v>246</v>
      </c>
      <c r="C12" s="9">
        <v>101466</v>
      </c>
      <c r="D12" s="14" t="s">
        <v>3</v>
      </c>
      <c r="E12" s="1"/>
      <c r="F12" s="1"/>
    </row>
    <row r="13" spans="1:6" x14ac:dyDescent="0.25">
      <c r="A13" s="1"/>
      <c r="B13" s="68" t="s">
        <v>247</v>
      </c>
      <c r="C13" s="9">
        <v>13251</v>
      </c>
      <c r="D13" s="14" t="s">
        <v>3</v>
      </c>
      <c r="E13" s="1"/>
      <c r="F13" s="1"/>
    </row>
    <row r="14" spans="1:6" x14ac:dyDescent="0.25">
      <c r="A14" s="1"/>
      <c r="B14" s="68" t="s">
        <v>261</v>
      </c>
      <c r="C14" s="9">
        <v>79112</v>
      </c>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1" t="s">
        <v>213</v>
      </c>
      <c r="C19" s="12">
        <f>SUM(C10:C18)</f>
        <v>5982403</v>
      </c>
      <c r="D19" s="13" t="s">
        <v>3</v>
      </c>
      <c r="E19" s="1"/>
      <c r="F19" s="1"/>
    </row>
    <row r="20" spans="1:6" x14ac:dyDescent="0.25">
      <c r="A20" s="1"/>
      <c r="B20" s="51" t="s">
        <v>214</v>
      </c>
      <c r="C20" s="12">
        <f>C19*(1+'Fane 13. Nøgletal'!C16)^2</f>
        <v>6988216.2803219194</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1AVLb1Crrk2fL+75ZtE/2cB6l6XoO3WDmh/2bH0ABhtCQSRAdJ6GpVc4xgPmRnWlYN1b7wTSIkwkBMWguanCAg==" saltValue="bfOOcZeTSPk9O05LULJLJ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248</v>
      </c>
      <c r="C8" s="105"/>
      <c r="D8" s="105"/>
      <c r="E8" s="105"/>
      <c r="F8" s="106"/>
      <c r="G8" s="1"/>
    </row>
    <row r="9" spans="1:7" x14ac:dyDescent="0.25">
      <c r="A9" s="1"/>
      <c r="B9" s="98" t="s">
        <v>249</v>
      </c>
      <c r="C9" s="99"/>
      <c r="D9" s="100"/>
      <c r="E9" s="28">
        <v>638190.02432896197</v>
      </c>
      <c r="F9" s="14" t="s">
        <v>3</v>
      </c>
      <c r="G9" s="1"/>
    </row>
    <row r="10" spans="1:7" x14ac:dyDescent="0.25">
      <c r="A10" s="1"/>
      <c r="B10" s="51"/>
      <c r="C10" s="52"/>
      <c r="D10" s="52"/>
      <c r="E10" s="52"/>
      <c r="F10" s="19"/>
      <c r="G10" s="1"/>
    </row>
    <row r="11" spans="1:7" ht="52.5" customHeight="1" x14ac:dyDescent="0.25">
      <c r="A11" s="1"/>
      <c r="B11" s="120" t="s">
        <v>250</v>
      </c>
      <c r="C11" s="121"/>
      <c r="D11" s="121"/>
      <c r="E11" s="121"/>
      <c r="F11" s="122"/>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251</v>
      </c>
      <c r="C14" s="99"/>
      <c r="D14" s="100"/>
      <c r="E14" s="9">
        <v>0</v>
      </c>
      <c r="F14" s="14" t="s">
        <v>3</v>
      </c>
      <c r="G14" s="1"/>
    </row>
    <row r="15" spans="1:7" x14ac:dyDescent="0.25">
      <c r="A15" s="1"/>
      <c r="B15" s="98" t="s">
        <v>252</v>
      </c>
      <c r="C15" s="99"/>
      <c r="D15" s="100"/>
      <c r="E15" s="9">
        <v>0</v>
      </c>
      <c r="F15" s="14" t="s">
        <v>3</v>
      </c>
      <c r="G15" s="1"/>
    </row>
    <row r="16" spans="1:7" x14ac:dyDescent="0.25">
      <c r="A16" s="1"/>
      <c r="B16" s="51"/>
      <c r="C16" s="52"/>
      <c r="D16" s="52"/>
      <c r="E16" s="52"/>
      <c r="F16" s="19"/>
      <c r="G16" s="1"/>
    </row>
    <row r="17" spans="1:7" ht="29.25" customHeight="1" x14ac:dyDescent="0.25">
      <c r="A17" s="1"/>
      <c r="B17" s="120" t="s">
        <v>253</v>
      </c>
      <c r="C17" s="121"/>
      <c r="D17" s="121"/>
      <c r="E17" s="121"/>
      <c r="F17" s="122"/>
      <c r="G17" s="1"/>
    </row>
    <row r="18" spans="1:7" x14ac:dyDescent="0.25">
      <c r="A18" s="1"/>
      <c r="B18" s="1"/>
      <c r="C18" s="1"/>
      <c r="D18" s="1"/>
      <c r="E18" s="1"/>
      <c r="F18" s="1"/>
      <c r="G18" s="1"/>
    </row>
    <row r="19" spans="1:7" x14ac:dyDescent="0.25">
      <c r="A19" s="1"/>
      <c r="B19" s="62" t="s">
        <v>254</v>
      </c>
      <c r="C19" s="63"/>
      <c r="D19" s="63"/>
      <c r="E19" s="63"/>
      <c r="F19" s="64"/>
      <c r="G19" s="1"/>
    </row>
    <row r="20" spans="1:7" x14ac:dyDescent="0.25">
      <c r="A20" s="1"/>
      <c r="B20" s="65" t="s">
        <v>255</v>
      </c>
      <c r="C20" s="66"/>
      <c r="D20" s="67"/>
      <c r="E20" s="9">
        <v>24486654.788681563</v>
      </c>
      <c r="F20" s="14" t="s">
        <v>3</v>
      </c>
      <c r="G20" s="1"/>
    </row>
    <row r="21" spans="1:7" x14ac:dyDescent="0.25">
      <c r="A21" s="1"/>
      <c r="B21" s="65" t="s">
        <v>256</v>
      </c>
      <c r="C21" s="66"/>
      <c r="D21" s="67"/>
      <c r="E21" s="9">
        <v>16629328</v>
      </c>
      <c r="F21" s="14" t="s">
        <v>3</v>
      </c>
      <c r="G21" s="1"/>
    </row>
    <row r="22" spans="1:7" x14ac:dyDescent="0.25">
      <c r="A22" s="1"/>
      <c r="B22" s="65" t="s">
        <v>29</v>
      </c>
      <c r="C22" s="66"/>
      <c r="D22" s="67"/>
      <c r="E22" s="9">
        <v>0</v>
      </c>
      <c r="F22" s="14" t="s">
        <v>3</v>
      </c>
      <c r="G22" s="1"/>
    </row>
    <row r="23" spans="1:7" x14ac:dyDescent="0.25">
      <c r="A23" s="1"/>
      <c r="B23" s="70" t="s">
        <v>257</v>
      </c>
      <c r="C23" s="71"/>
      <c r="D23" s="72"/>
      <c r="E23" s="10">
        <f>E20-(E21-E22)</f>
        <v>7857326.788681563</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4" t="s">
        <v>258</v>
      </c>
      <c r="C26" s="105"/>
      <c r="D26" s="105"/>
      <c r="E26" s="105"/>
      <c r="F26" s="106"/>
      <c r="G26" s="1"/>
    </row>
    <row r="27" spans="1:7" x14ac:dyDescent="0.25">
      <c r="A27" s="1"/>
      <c r="B27" s="123" t="s">
        <v>259</v>
      </c>
      <c r="C27" s="124"/>
      <c r="D27" s="125"/>
      <c r="E27" s="58">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260</v>
      </c>
      <c r="C30" s="105"/>
      <c r="D30" s="105"/>
      <c r="E30" s="105"/>
      <c r="F30" s="106"/>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6" t="s">
        <v>116</v>
      </c>
      <c r="C33" s="116"/>
      <c r="D33" s="116"/>
      <c r="E33" s="58">
        <f>E31/E32</f>
        <v>0</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kcOHE3EvC1QcfPT1w8F9FB9DdoxY2OkWRvwtWkNfXCO7PhbzDANsxP5pO+cf80MF6S2ShJKjVmIJyPKc64JyuA==" saltValue="VrrOSK9L4UI8KcTw3WR2UQ=="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jWD6jfM2flXiSSnRmaQzb3K0oq0okli6b1PmY9uF71XG8AW1eeZSATmvn4zd7xv+TmeCd1omLv3S2XthnmoVQ==" saltValue="gxm88pyYGR001mHg00NXj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80" zoomScaleNormal="100" zoomScalePageLayoutView="8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rc/jrU42Tbxq1DZKnknzHnbPObhkJhehzIpYJwVvPChMZcVAoUOZdgGyushT4mVOIYnzDwJQFHSYrWYmV/tjtQ==" saltValue="YyFfthubR7ouBfj5hg0Sn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jg1d3BARoQVDRjN9bhbzoyhR+3ZOUdkipVtSzFBa3OL4F4Y0uDChvdiFNrvOazvs3uQgvyNBsp7RTsVybAkXBQ==" saltValue="RSAGDtVg9d+0Aui4JQh+z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243</v>
      </c>
      <c r="C11" s="21">
        <v>0</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mQypw6mO7JXN6BJy2ThJ+1XC5zx1IAnSUbYdRJfkp+pq4s8hKRFFbNgo1zlEuF6UyOlJu0aSd1LTrDwiRlFsg==" saltValue="bSNRB0dhHkKTw1+wZ7AdI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4xdulE1pZWmCZYZ303mKG+XLSp3GBUXgQFNmiWXsVdDa7+GT8aNBNj3fb+t6VoyhAHBfCRZycLqsiWdQdEcRUw==" saltValue="ZgJRsEVO383wN3tnKKotc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181</v>
      </c>
      <c r="C3" s="97"/>
      <c r="D3" s="97"/>
      <c r="E3" s="97"/>
      <c r="F3" s="97"/>
    </row>
    <row r="4" spans="1:6" ht="25.5" customHeight="1" x14ac:dyDescent="0.25">
      <c r="A4" s="1"/>
      <c r="B4" s="97"/>
      <c r="C4" s="97"/>
      <c r="D4" s="97"/>
      <c r="E4" s="97"/>
      <c r="F4" s="97"/>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4" t="s">
        <v>237</v>
      </c>
      <c r="C10" s="105"/>
      <c r="D10" s="105"/>
      <c r="E10" s="105"/>
      <c r="F10" s="106"/>
    </row>
    <row r="11" spans="1:6" ht="26.25" x14ac:dyDescent="0.25">
      <c r="A11" s="1"/>
      <c r="B11" s="53" t="s">
        <v>16</v>
      </c>
      <c r="C11" s="53" t="s">
        <v>10</v>
      </c>
      <c r="D11" s="30"/>
      <c r="E11" s="53" t="s">
        <v>27</v>
      </c>
      <c r="F11" s="30"/>
    </row>
    <row r="12" spans="1:6" x14ac:dyDescent="0.25">
      <c r="A12" s="1"/>
      <c r="B12" s="57" t="s">
        <v>242</v>
      </c>
      <c r="C12" s="9">
        <v>0</v>
      </c>
      <c r="D12" s="14" t="s">
        <v>3</v>
      </c>
      <c r="E12" s="9">
        <v>0</v>
      </c>
      <c r="F12" s="14" t="s">
        <v>3</v>
      </c>
    </row>
    <row r="13" spans="1:6" x14ac:dyDescent="0.25">
      <c r="A13" s="1"/>
      <c r="B13" s="51" t="s">
        <v>78</v>
      </c>
      <c r="C13" s="12">
        <f>SUM(C12:C12)</f>
        <v>0</v>
      </c>
      <c r="D13" s="13" t="s">
        <v>3</v>
      </c>
      <c r="E13" s="12">
        <f>SUM(E12:E12)</f>
        <v>0</v>
      </c>
      <c r="F13" s="13" t="s">
        <v>3</v>
      </c>
    </row>
    <row r="14" spans="1:6" x14ac:dyDescent="0.25">
      <c r="A14" s="1"/>
      <c r="B14" s="51"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x5cf+CzoNXM+buN3JOeeyTwZnHWSKX9RSF2o3rmqLZ0hWrjnmzAoLApGZ6GdMPP+b1exqp2BeI68aA3pfTNEhQ==" saltValue="pO/B5pPzo0MnTrmtYfLuj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2.8399999999999998E-2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8"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UFe585qyR1PULkIwKhhm4CfL11RGlfPbAi6irmpUKXIDXZIxhS5eUCovAXOskXELhwUHLZ8dDUNOW+qoBCriEA==" saltValue="HTgcFv/6B56B1hYpnR1J3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12458076.539703118</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443507.52481343097</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-118958.93995018155</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12782625.124566367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6988216.2803219194</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6">
        <f>SUM(C23:C26)</f>
        <v>0</v>
      </c>
      <c r="D27" s="11" t="s">
        <v>3</v>
      </c>
      <c r="E27" s="1"/>
    </row>
    <row r="28" spans="1:5" ht="15" customHeight="1" x14ac:dyDescent="0.25">
      <c r="A28" s="1"/>
      <c r="B28" s="26" t="s">
        <v>117</v>
      </c>
      <c r="C28" s="52"/>
      <c r="D28" s="19"/>
      <c r="E28" s="1"/>
    </row>
    <row r="29" spans="1:5" x14ac:dyDescent="0.25">
      <c r="A29" s="1"/>
      <c r="B29" s="69" t="s">
        <v>118</v>
      </c>
      <c r="C29" s="10">
        <f>'Fane 7. Kontrol af ØR2022'!E27</f>
        <v>0</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26" t="s">
        <v>262</v>
      </c>
      <c r="C32" s="52"/>
      <c r="D32" s="19"/>
      <c r="E32" s="1"/>
    </row>
    <row r="33" spans="1:5" x14ac:dyDescent="0.25">
      <c r="A33" s="1"/>
      <c r="B33" s="69" t="s">
        <v>263</v>
      </c>
      <c r="C33" s="10">
        <v>363964.98072093091</v>
      </c>
      <c r="D33" s="11" t="s">
        <v>3</v>
      </c>
      <c r="E33" s="1"/>
    </row>
    <row r="34" spans="1:5" x14ac:dyDescent="0.25">
      <c r="A34" s="1"/>
      <c r="B34" s="51" t="s">
        <v>126</v>
      </c>
      <c r="C34" s="33">
        <f>SUM(C19,C21,C27,C29,C31,C33)</f>
        <v>20134806.385609217</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gv2i0Mov/PnSgc/pcWtW1B5tXtuR5rIjwHz3C7RsXpUsMgaH8U0JuyZa+ErpeqqkZIMmF8y2wcVb9u/MbSiYfA==" saltValue="WUkz4lPe6w/oweS2qBBEp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1.28515625" style="2" customWidth="1"/>
    <col min="3" max="3" width="12.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12782625.124566367</v>
      </c>
      <c r="D8" s="8" t="s">
        <v>3</v>
      </c>
      <c r="E8" s="1"/>
    </row>
    <row r="9" spans="1:5" ht="15" customHeight="1" x14ac:dyDescent="0.25">
      <c r="A9" s="1"/>
      <c r="B9" s="29" t="s">
        <v>17</v>
      </c>
      <c r="C9" s="9">
        <f>SUM(C8:C8)*'Fane 13. Nøgletal'!C16</f>
        <v>1032836.1100649624</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-125999.40585219309</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13689461.828779137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7552864.1557719307</v>
      </c>
      <c r="D15" s="11" t="s">
        <v>3</v>
      </c>
      <c r="E15" s="1"/>
    </row>
    <row r="16" spans="1:5" x14ac:dyDescent="0.25">
      <c r="A16" s="1"/>
      <c r="B16" s="26" t="s">
        <v>117</v>
      </c>
      <c r="C16" s="52"/>
      <c r="D16" s="19"/>
      <c r="E16" s="1"/>
    </row>
    <row r="17" spans="1:5" ht="15" customHeight="1" x14ac:dyDescent="0.25">
      <c r="A17" s="1"/>
      <c r="B17" s="69" t="s">
        <v>118</v>
      </c>
      <c r="C17" s="10">
        <f>'Fane 7. Kontrol af ØR2022'!E33</f>
        <v>0</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21242325.984551068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58apcZUEf9ygFKkbxD5Z0nYu5djcMVejsnEvrHE7RHNixY7CANqfEpNPB2oA2DfTZX8HXp3hQ5tb6QQakS3+A==" saltValue="0O9EYqd6+6jvcm0xnRy1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13689461.828779137</v>
      </c>
      <c r="D8" s="8" t="s">
        <v>3</v>
      </c>
      <c r="E8" s="1"/>
    </row>
    <row r="9" spans="1:5" ht="15" customHeight="1" x14ac:dyDescent="0.25">
      <c r="A9" s="1"/>
      <c r="B9" s="29" t="s">
        <v>17</v>
      </c>
      <c r="C9" s="9">
        <f>SUM(C8:C8)*'Fane 13. Nøgletal'!C16</f>
        <v>1106108.5157653543</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-133456.55468814928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14662113.789856341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8163135.5795583017</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22825249.369414642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dUViRiL4AavI4gJm8qatFeAjhxxDAHVa4oGGnd5RZusoCx7X+u/byHrROsX5w9QkL+vhVFQruOUbWO4+s6GQQ==" saltValue="jGlZCtiwxAkYAR+v5fFdl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14662113.789856341</v>
      </c>
      <c r="D8" s="8" t="s">
        <v>3</v>
      </c>
      <c r="E8" s="1"/>
    </row>
    <row r="9" spans="1:5" ht="15" customHeight="1" x14ac:dyDescent="0.25">
      <c r="A9" s="1"/>
      <c r="B9" s="29" t="s">
        <v>17</v>
      </c>
      <c r="C9" s="9">
        <f>SUM(C8:C8)*'Fane 13. Nøgletal'!C16</f>
        <v>1184698.7942203924</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-141355.04742081271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15705457.53665592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8822716.9343866128</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24528174.471042532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u+fBY9g8Dm3lEq+dOF0vk/Jy10+9RfnH+Wm+RK0aLmszXrMX/n4nlAltGiUII6+guwG9Uq4mlhS3rwXNJ7Dw==" saltValue="w0zWcfXzgQEgADZ+/jFf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11686990.758666186</v>
      </c>
      <c r="D8" s="8" t="s">
        <v>3</v>
      </c>
      <c r="E8" s="1"/>
    </row>
    <row r="9" spans="1:5" x14ac:dyDescent="0.25">
      <c r="A9" s="1"/>
      <c r="B9" s="24" t="s">
        <v>33</v>
      </c>
      <c r="C9" s="7">
        <v>108043.11240000001</v>
      </c>
      <c r="D9" s="8" t="s">
        <v>3</v>
      </c>
      <c r="E9" s="1"/>
    </row>
    <row r="10" spans="1:5" x14ac:dyDescent="0.25">
      <c r="A10" s="1"/>
      <c r="B10" s="24" t="s">
        <v>34</v>
      </c>
      <c r="C10" s="9">
        <v>347965.74240000005</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432290.78623939626</v>
      </c>
      <c r="D15" s="8" t="s">
        <v>3</v>
      </c>
      <c r="E15" s="1"/>
    </row>
    <row r="16" spans="1:5" x14ac:dyDescent="0.25">
      <c r="A16" s="1"/>
      <c r="B16" s="24" t="s">
        <v>9</v>
      </c>
      <c r="C16" s="9">
        <v>0</v>
      </c>
      <c r="D16" s="8" t="s">
        <v>3</v>
      </c>
      <c r="E16" s="1"/>
    </row>
    <row r="17" spans="1:5" x14ac:dyDescent="0.25">
      <c r="A17" s="1"/>
      <c r="B17" s="24" t="s">
        <v>22</v>
      </c>
      <c r="C17" s="9">
        <v>-117213.86000246485</v>
      </c>
      <c r="D17" s="8" t="s">
        <v>3</v>
      </c>
      <c r="E17" s="1"/>
    </row>
    <row r="18" spans="1:5" x14ac:dyDescent="0.25">
      <c r="A18" s="1"/>
      <c r="B18" s="24" t="s">
        <v>23</v>
      </c>
      <c r="C18" s="9">
        <v>0</v>
      </c>
      <c r="D18" s="8" t="s">
        <v>3</v>
      </c>
      <c r="E18" s="1"/>
    </row>
    <row r="19" spans="1:5" x14ac:dyDescent="0.25">
      <c r="A19" s="1"/>
      <c r="B19" s="70" t="s">
        <v>19</v>
      </c>
      <c r="C19" s="10">
        <v>12458076.539703118</v>
      </c>
      <c r="D19" s="11" t="s">
        <v>3</v>
      </c>
      <c r="E19" s="1"/>
    </row>
    <row r="20" spans="1:5" x14ac:dyDescent="0.25">
      <c r="A20" s="1"/>
      <c r="B20" s="51" t="s">
        <v>11</v>
      </c>
      <c r="C20" s="52"/>
      <c r="D20" s="19"/>
      <c r="E20" s="1"/>
    </row>
    <row r="21" spans="1:5" x14ac:dyDescent="0.25">
      <c r="A21" s="1"/>
      <c r="B21" s="53" t="s">
        <v>11</v>
      </c>
      <c r="C21" s="10">
        <v>6412256.6062233606</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0</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18870333.145926479</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DihJfTyNwfdxVa0hlFtnI7hzEnSrL17bwwvGcGKke7HdnbDFBjz5gxlE353uGYCOHleilLGORKJIIx9kJJWLQ==" saltValue="j4dg7GwR9zQmeZxJNzlXw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70" zoomScaleNormal="100" zoomScalePageLayoutView="7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5433459</v>
      </c>
      <c r="H5" s="14" t="s">
        <v>3</v>
      </c>
      <c r="I5" s="1"/>
    </row>
    <row r="6" spans="1:9" x14ac:dyDescent="0.25">
      <c r="A6" s="1"/>
      <c r="B6" s="98" t="s">
        <v>37</v>
      </c>
      <c r="C6" s="99"/>
      <c r="D6" s="99"/>
      <c r="E6" s="99"/>
      <c r="F6" s="100"/>
      <c r="G6" s="22">
        <f>G5*'Fane 13. Nøgletal'!C33</f>
        <v>108669.18000000001</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5392414.6507139998</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107848.29301428</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5373875.529144845</v>
      </c>
      <c r="H16" s="14" t="s">
        <v>3</v>
      </c>
      <c r="I16" s="1"/>
    </row>
    <row r="17" spans="1:9" x14ac:dyDescent="0.25">
      <c r="A17" s="1"/>
      <c r="B17" s="98" t="s">
        <v>100</v>
      </c>
      <c r="C17" s="99"/>
      <c r="D17" s="99"/>
      <c r="E17" s="99"/>
      <c r="F17" s="100"/>
      <c r="G17" s="47">
        <v>-20098.118324705236</v>
      </c>
      <c r="H17" s="14" t="s">
        <v>3</v>
      </c>
      <c r="I17" s="1"/>
    </row>
    <row r="18" spans="1:9" x14ac:dyDescent="0.25">
      <c r="A18" s="1"/>
      <c r="B18" s="101" t="s">
        <v>229</v>
      </c>
      <c r="C18" s="102"/>
      <c r="D18" s="102"/>
      <c r="E18" s="102"/>
      <c r="F18" s="103"/>
      <c r="G18" s="47">
        <v>404133.06541531993</v>
      </c>
      <c r="H18" s="14" t="s">
        <v>3</v>
      </c>
      <c r="I18" s="1"/>
    </row>
    <row r="19" spans="1:9" x14ac:dyDescent="0.25">
      <c r="A19" s="1"/>
      <c r="B19" s="98" t="s">
        <v>41</v>
      </c>
      <c r="C19" s="99"/>
      <c r="D19" s="99"/>
      <c r="E19" s="99"/>
      <c r="F19" s="100"/>
      <c r="G19" s="22">
        <f>SUM(G16:G18)*'Fane 13. Nøgletal'!C33</f>
        <v>115158.20952470919</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5738114.780018162</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114762.29560036324</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5691957.384727696</v>
      </c>
      <c r="H29" s="14" t="s">
        <v>3</v>
      </c>
      <c r="I29" s="1"/>
    </row>
    <row r="30" spans="1:9" x14ac:dyDescent="0.25">
      <c r="A30" s="1"/>
      <c r="B30" s="98" t="s">
        <v>231</v>
      </c>
      <c r="C30" s="99"/>
      <c r="D30" s="99"/>
      <c r="E30" s="99"/>
      <c r="F30" s="100"/>
      <c r="G30" s="47">
        <v>18448.026413039999</v>
      </c>
      <c r="H30" s="14" t="s">
        <v>3</v>
      </c>
      <c r="I30" s="1"/>
    </row>
    <row r="31" spans="1:9" x14ac:dyDescent="0.25">
      <c r="A31" s="1"/>
      <c r="B31" s="98" t="s">
        <v>115</v>
      </c>
      <c r="C31" s="99"/>
      <c r="D31" s="99"/>
      <c r="E31" s="99"/>
      <c r="F31" s="100"/>
      <c r="G31" s="22">
        <f>(G29+G30)*'Fane 13. Nøgletal'!C33</f>
        <v>114208.10822281473</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5664470.9100135202</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113289.4182002704</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5748803.5529218018</v>
      </c>
      <c r="H41" s="14" t="s">
        <v>3</v>
      </c>
      <c r="I41" s="1"/>
    </row>
    <row r="42" spans="1:9" x14ac:dyDescent="0.25">
      <c r="A42" s="1"/>
      <c r="B42" s="98" t="s">
        <v>156</v>
      </c>
      <c r="C42" s="99"/>
      <c r="D42" s="99"/>
      <c r="E42" s="99"/>
      <c r="F42" s="100"/>
      <c r="G42" s="22">
        <v>111889.44720144002</v>
      </c>
      <c r="H42" s="14" t="s">
        <v>3</v>
      </c>
      <c r="I42" s="1"/>
    </row>
    <row r="43" spans="1:9" x14ac:dyDescent="0.25">
      <c r="A43" s="1"/>
      <c r="B43" s="98" t="s">
        <v>166</v>
      </c>
      <c r="C43" s="99"/>
      <c r="D43" s="99"/>
      <c r="E43" s="99"/>
      <c r="F43" s="100"/>
      <c r="G43" s="22">
        <f>(G41+G42)*'Fane 13. Nøgletal'!C33</f>
        <v>117213.86000246485</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5947946.9975090772</v>
      </c>
      <c r="H47" s="14" t="s">
        <v>3</v>
      </c>
      <c r="I47" s="1"/>
    </row>
    <row r="48" spans="1:9" x14ac:dyDescent="0.25">
      <c r="A48" s="1"/>
      <c r="B48" s="98" t="s">
        <v>206</v>
      </c>
      <c r="C48" s="99"/>
      <c r="D48" s="99"/>
      <c r="E48" s="99"/>
      <c r="F48" s="100"/>
      <c r="G48" s="55">
        <f>('Fane 2.1. Økonomisk ramme 2024'!C9+'Fane 2.1. Økonomisk ramme 2024'!C11+'Fane 2.1. Økonomisk ramme 2024'!C13)*(1+'Fane 13. Nøgletal'!C16)</f>
        <v>0</v>
      </c>
      <c r="H48" s="14" t="s">
        <v>3</v>
      </c>
      <c r="I48" s="1"/>
    </row>
    <row r="49" spans="1:9" x14ac:dyDescent="0.25">
      <c r="A49" s="1"/>
      <c r="B49" s="98" t="s">
        <v>167</v>
      </c>
      <c r="C49" s="99"/>
      <c r="D49" s="99"/>
      <c r="E49" s="99"/>
      <c r="F49" s="100"/>
      <c r="G49" s="22">
        <f>G47*'Fane 13. Nøgletal'!C33+G48*'Fane 13. Nøgletal'!C33</f>
        <v>118958.93995018155</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6299970.2926096544</v>
      </c>
      <c r="H53" s="14" t="s">
        <v>3</v>
      </c>
      <c r="I53" s="1"/>
    </row>
    <row r="54" spans="1:9" x14ac:dyDescent="0.25">
      <c r="A54" s="1"/>
      <c r="B54" s="98" t="s">
        <v>135</v>
      </c>
      <c r="C54" s="99"/>
      <c r="D54" s="99"/>
      <c r="E54" s="99"/>
      <c r="F54" s="100"/>
      <c r="G54" s="22">
        <f>(G53)*'Fane 13. Nøgletal'!C33</f>
        <v>125999.40585219309</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6672827.734407464</v>
      </c>
      <c r="H58" s="14" t="s">
        <v>3</v>
      </c>
      <c r="I58" s="1"/>
    </row>
    <row r="59" spans="1:9" x14ac:dyDescent="0.25">
      <c r="A59" s="1"/>
      <c r="B59" s="98" t="s">
        <v>146</v>
      </c>
      <c r="C59" s="99"/>
      <c r="D59" s="99"/>
      <c r="E59" s="99"/>
      <c r="F59" s="100"/>
      <c r="G59" s="22">
        <f>(G58)*'Fane 13. Nøgletal'!C33</f>
        <v>133456.55468814928</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7067752.3710406357</v>
      </c>
      <c r="H63" s="14" t="s">
        <v>3</v>
      </c>
      <c r="I63" s="1"/>
    </row>
    <row r="64" spans="1:9" x14ac:dyDescent="0.25">
      <c r="A64" s="1"/>
      <c r="B64" s="98" t="s">
        <v>222</v>
      </c>
      <c r="C64" s="99"/>
      <c r="D64" s="99"/>
      <c r="E64" s="99"/>
      <c r="F64" s="100"/>
      <c r="G64" s="22">
        <f>(G63)*'Fane 13. Nøgletal'!C33</f>
        <v>141355.04742081271</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h5sXs4Y6K4p3BDQhAa4dx10AI1TMAIBa00Yf/lLe+vmLjys5Scu/Y0J2EFTOOH+FhzmkrJHXvRyYp/JTCzIxjg==" saltValue="2ZLHDQ/aIokmZX7AJu3im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85" zoomScaleNormal="120" zoomScalePageLayoutView="85"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6508235</v>
      </c>
      <c r="H5" s="14" t="s">
        <v>3</v>
      </c>
      <c r="I5" s="1"/>
    </row>
    <row r="6" spans="1:9" x14ac:dyDescent="0.25">
      <c r="A6" s="1"/>
      <c r="B6" s="98" t="s">
        <v>49</v>
      </c>
      <c r="C6" s="99"/>
      <c r="D6" s="99"/>
      <c r="E6" s="99"/>
      <c r="F6" s="100"/>
      <c r="G6" s="22">
        <f>G5*'Fane 13. Nøgletal'!C21</f>
        <v>59224.938500000004</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6530912.489281049</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59431.303652457551</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6580849.2176657133</v>
      </c>
      <c r="H16" s="14" t="s">
        <v>3</v>
      </c>
      <c r="I16" s="1"/>
    </row>
    <row r="17" spans="1:9" x14ac:dyDescent="0.25">
      <c r="A17" s="1"/>
      <c r="B17" s="98" t="s">
        <v>101</v>
      </c>
      <c r="C17" s="99"/>
      <c r="D17" s="99"/>
      <c r="E17" s="99"/>
      <c r="F17" s="100"/>
      <c r="G17" s="47">
        <v>117200.36801839173</v>
      </c>
      <c r="H17" s="14" t="s">
        <v>3</v>
      </c>
      <c r="I17" s="1"/>
    </row>
    <row r="18" spans="1:9" x14ac:dyDescent="0.25">
      <c r="A18" s="1"/>
      <c r="B18" s="101" t="s">
        <v>58</v>
      </c>
      <c r="C18" s="102"/>
      <c r="D18" s="102"/>
      <c r="E18" s="102"/>
      <c r="F18" s="103"/>
      <c r="G18" s="47">
        <v>290892.41843543993</v>
      </c>
      <c r="H18" s="14" t="s">
        <v>3</v>
      </c>
      <c r="I18" s="1"/>
    </row>
    <row r="19" spans="1:9" x14ac:dyDescent="0.25">
      <c r="A19" s="1"/>
      <c r="B19" s="98" t="s">
        <v>59</v>
      </c>
      <c r="C19" s="99"/>
      <c r="D19" s="99"/>
      <c r="E19" s="99"/>
      <c r="F19" s="100"/>
      <c r="G19" s="22">
        <f>(G16+G17+G18)*'Fane 13. Nøgletal'!C23</f>
        <v>60803.795435840038</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7045223.744410459</v>
      </c>
      <c r="H23" s="14" t="s">
        <v>3</v>
      </c>
      <c r="I23" s="1"/>
    </row>
    <row r="24" spans="1:9" x14ac:dyDescent="0.25">
      <c r="A24" s="1"/>
      <c r="B24" s="101" t="s">
        <v>62</v>
      </c>
      <c r="C24" s="102"/>
      <c r="D24" s="102"/>
      <c r="E24" s="102"/>
      <c r="F24" s="103"/>
      <c r="G24" s="47">
        <v>0</v>
      </c>
      <c r="H24" s="14" t="s">
        <v>3</v>
      </c>
      <c r="I24" s="1"/>
    </row>
    <row r="25" spans="1:9" x14ac:dyDescent="0.25">
      <c r="A25" s="1"/>
      <c r="B25" s="98" t="s">
        <v>63</v>
      </c>
      <c r="C25" s="99"/>
      <c r="D25" s="99"/>
      <c r="E25" s="99"/>
      <c r="F25" s="100"/>
      <c r="G25" s="22">
        <f>G23*'Fane 13. Nøgletal'!C23+G24*'Fane 13. Nøgletal'!C24</f>
        <v>61293.446576370989</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7069134.2474676641</v>
      </c>
      <c r="H29" s="14" t="s">
        <v>3</v>
      </c>
      <c r="I29" s="1"/>
    </row>
    <row r="30" spans="1:9" x14ac:dyDescent="0.25">
      <c r="A30" s="1"/>
      <c r="B30" s="98" t="s">
        <v>113</v>
      </c>
      <c r="C30" s="99"/>
      <c r="D30" s="99"/>
      <c r="E30" s="99"/>
      <c r="F30" s="100"/>
      <c r="G30" s="47">
        <v>104104.40763239999</v>
      </c>
      <c r="H30" s="14" t="s">
        <v>3</v>
      </c>
      <c r="I30" s="1"/>
    </row>
    <row r="31" spans="1:9" x14ac:dyDescent="0.25">
      <c r="A31" s="1"/>
      <c r="B31" s="98" t="s">
        <v>120</v>
      </c>
      <c r="C31" s="99"/>
      <c r="D31" s="99"/>
      <c r="E31" s="99"/>
      <c r="F31" s="100"/>
      <c r="G31" s="22">
        <f>(G29+G30)*'Fane 13. Nøgletal'!C25</f>
        <v>197264.06301525177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7061081.4821082475</v>
      </c>
      <c r="H35" s="14" t="s">
        <v>3</v>
      </c>
      <c r="I35" s="1"/>
    </row>
    <row r="36" spans="1:9" x14ac:dyDescent="0.25">
      <c r="A36" s="1"/>
      <c r="B36" s="98" t="s">
        <v>129</v>
      </c>
      <c r="C36" s="99"/>
      <c r="D36" s="99"/>
      <c r="E36" s="99"/>
      <c r="F36" s="100"/>
      <c r="G36" s="55">
        <v>0</v>
      </c>
      <c r="H36" s="14" t="s">
        <v>3</v>
      </c>
      <c r="I36" s="1"/>
    </row>
    <row r="37" spans="1:9" x14ac:dyDescent="0.25">
      <c r="A37" s="1"/>
      <c r="B37" s="98" t="s">
        <v>125</v>
      </c>
      <c r="C37" s="99"/>
      <c r="D37" s="99"/>
      <c r="E37" s="99"/>
      <c r="F37" s="100"/>
      <c r="G37" s="22">
        <f>G35*'Fane 13. Nøgletal'!C25+G36*'Fane 13. Nøgletal'!C26</f>
        <v>194179.7407579768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7111363.4433423411</v>
      </c>
      <c r="H41" s="14" t="s">
        <v>3</v>
      </c>
      <c r="I41" s="1"/>
    </row>
    <row r="42" spans="1:9" x14ac:dyDescent="0.25">
      <c r="A42" s="1"/>
      <c r="B42" s="98" t="s">
        <v>169</v>
      </c>
      <c r="C42" s="99"/>
      <c r="D42" s="99"/>
      <c r="E42" s="99"/>
      <c r="F42" s="100"/>
      <c r="G42" s="9">
        <v>360353.32282944006</v>
      </c>
      <c r="H42" s="14" t="s">
        <v>3</v>
      </c>
      <c r="I42" s="1"/>
    </row>
    <row r="43" spans="1:9" x14ac:dyDescent="0.25">
      <c r="A43" s="1"/>
      <c r="B43" s="98" t="s">
        <v>65</v>
      </c>
      <c r="C43" s="99"/>
      <c r="D43" s="99"/>
      <c r="E43" s="99"/>
      <c r="F43" s="100"/>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7737709.8830474969</v>
      </c>
      <c r="H47" s="14" t="s">
        <v>3</v>
      </c>
      <c r="I47" s="1"/>
    </row>
    <row r="48" spans="1:9" x14ac:dyDescent="0.25">
      <c r="A48" s="1"/>
      <c r="B48" s="98" t="s">
        <v>210</v>
      </c>
      <c r="C48" s="99"/>
      <c r="D48" s="99"/>
      <c r="E48" s="99"/>
      <c r="F48" s="100"/>
      <c r="G48" s="55">
        <f>('Fane 2.1. Økonomisk ramme 2024'!C10+'Fane 2.1. Økonomisk ramme 2024'!C12+'Fane 2.1. Økonomisk ramme 2024'!C14)*(1+'Fane 13. Nøgletal'!C16)</f>
        <v>0</v>
      </c>
      <c r="H48" s="14" t="s">
        <v>3</v>
      </c>
      <c r="I48" s="1"/>
    </row>
    <row r="49" spans="1:9" x14ac:dyDescent="0.25">
      <c r="A49" s="1"/>
      <c r="B49" s="98" t="s">
        <v>211</v>
      </c>
      <c r="C49" s="99"/>
      <c r="D49" s="99"/>
      <c r="E49" s="99"/>
      <c r="F49" s="100"/>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8362916.841597735</v>
      </c>
      <c r="H53" s="14" t="s">
        <v>3</v>
      </c>
      <c r="I53" s="1"/>
    </row>
    <row r="54" spans="1:9" x14ac:dyDescent="0.25">
      <c r="A54" s="1"/>
      <c r="B54" s="98" t="s">
        <v>132</v>
      </c>
      <c r="C54" s="99"/>
      <c r="D54" s="99"/>
      <c r="E54" s="99"/>
      <c r="F54" s="100"/>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9038640.5223988313</v>
      </c>
      <c r="H58" s="14" t="s">
        <v>3</v>
      </c>
      <c r="I58" s="1"/>
    </row>
    <row r="59" spans="1:9" x14ac:dyDescent="0.25">
      <c r="A59" s="1"/>
      <c r="B59" s="98" t="s">
        <v>149</v>
      </c>
      <c r="C59" s="99"/>
      <c r="D59" s="99"/>
      <c r="E59" s="99"/>
      <c r="F59" s="100"/>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9768962.6766086575</v>
      </c>
      <c r="H63" s="14" t="s">
        <v>3</v>
      </c>
      <c r="I63" s="1"/>
    </row>
    <row r="64" spans="1:9" x14ac:dyDescent="0.25">
      <c r="A64" s="1"/>
      <c r="B64" s="98" t="s">
        <v>225</v>
      </c>
      <c r="C64" s="99"/>
      <c r="D64" s="99"/>
      <c r="E64" s="99"/>
      <c r="F64" s="100"/>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JIQS9GvRetE4hzK5Zy453sT56rdtwMFN1axXpdbVauEZgmgFJ1XD1XtLMcL3UKD1cKFUXC2EhzHaBqYGTzsHHw==" saltValue="LfRE+kdA69aIOaHu54rA8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60">
        <v>0</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udC5fl2RHTZ3Bz4mbPbwiP+SKX05YIU55Zo46uU2RMcX8XB5jGpCbAQpyLImz14MSfyxYcMXwzWPjqmCpunDcA==" saltValue="OfW4ozKz5xPnKNnps33Ts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2023-11-05T12:44:36Z</dcterms:modified>
</cp:coreProperties>
</file>