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densted Spildevand (S03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38" i="39" l="1"/>
  <c r="C23" i="23" s="1"/>
  <c r="E22" i="39"/>
  <c r="C23" i="15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1" i="37" s="1"/>
  <c r="E12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<sst xmlns="http://schemas.openxmlformats.org/spreadsheetml/2006/main" count="703" uniqueCount="285">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</sst>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80" t="s">
        <v>283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2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2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0VdopPt0oVtaWtuR2B9fVquVgetCu10mCS0RjohSQOTDoQQLk/YUKt7N95oHaagIYY1tHuO6RsUwjs5CY0q1Q==" saltValue="aC6GdZyiekmvlDMb5FOdE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7" t="s">
        <v>132</v>
      </c>
      <c r="C3" s="87"/>
      <c r="D3" s="87"/>
      <c r="E3" s="1"/>
      <c r="F3" s="1"/>
    </row>
    <row r="4" spans="1:6" ht="15" customHeight="1" x14ac:dyDescent="0.25">
      <c r="A4" s="1"/>
      <c r="B4" s="87"/>
      <c r="C4" s="87"/>
      <c r="D4" s="8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208</v>
      </c>
      <c r="C8" s="96"/>
      <c r="D8" s="97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2" t="s">
        <v>262</v>
      </c>
      <c r="C10" s="9">
        <v>1385139</v>
      </c>
      <c r="D10" s="14" t="s">
        <v>3</v>
      </c>
      <c r="E10" s="1"/>
      <c r="F10" s="1"/>
    </row>
    <row r="11" spans="1:6" x14ac:dyDescent="0.25">
      <c r="A11" s="1"/>
      <c r="B11" s="62" t="s">
        <v>263</v>
      </c>
      <c r="C11" s="9">
        <v>73180</v>
      </c>
      <c r="D11" s="14" t="s">
        <v>3</v>
      </c>
      <c r="E11" s="1"/>
      <c r="F11" s="1"/>
    </row>
    <row r="12" spans="1:6" x14ac:dyDescent="0.25">
      <c r="A12" s="1"/>
      <c r="B12" s="62" t="s">
        <v>264</v>
      </c>
      <c r="C12" s="9">
        <v>140077</v>
      </c>
      <c r="D12" s="14" t="s">
        <v>3</v>
      </c>
      <c r="E12" s="1"/>
      <c r="F12" s="1"/>
    </row>
    <row r="13" spans="1:6" x14ac:dyDescent="0.25">
      <c r="A13" s="1"/>
      <c r="B13" s="62" t="s">
        <v>265</v>
      </c>
      <c r="C13" s="9">
        <v>193254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1791650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1803494.4010685002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5" t="s">
        <v>142</v>
      </c>
      <c r="C18" s="96"/>
      <c r="D18" s="97"/>
      <c r="E18" s="1"/>
      <c r="F18" s="1"/>
    </row>
    <row r="19" spans="1:6" x14ac:dyDescent="0.2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5"/>
      <c r="C23" s="96"/>
      <c r="D23" s="97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5" t="s">
        <v>115</v>
      </c>
      <c r="C26" s="96"/>
      <c r="D26" s="97"/>
      <c r="E26" s="1"/>
      <c r="F26" s="1"/>
    </row>
    <row r="27" spans="1:6" x14ac:dyDescent="0.2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5"/>
      <c r="C31" s="96"/>
      <c r="D31" s="97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bK+ik2bvmCbUV50xESJO+RM2hhpTXaseD5/3e7XGc6eL4rbRsUdREMQgs/QpoiZm1hXE/VYhE/DSlU5g4x+w8g==" saltValue="JfmLIsuHaI7fq30RQW62d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267</v>
      </c>
      <c r="C8" s="96"/>
      <c r="D8" s="96"/>
      <c r="E8" s="96"/>
      <c r="F8" s="97"/>
      <c r="G8" s="1"/>
    </row>
    <row r="9" spans="1:7" x14ac:dyDescent="0.25">
      <c r="A9" s="1"/>
      <c r="B9" s="104" t="s">
        <v>268</v>
      </c>
      <c r="C9" s="105"/>
      <c r="D9" s="106"/>
      <c r="E9" s="9">
        <v>18865305.769807026</v>
      </c>
      <c r="F9" s="14" t="s">
        <v>3</v>
      </c>
      <c r="G9" s="1"/>
    </row>
    <row r="10" spans="1:7" x14ac:dyDescent="0.25">
      <c r="A10" s="1"/>
      <c r="B10" s="104" t="s">
        <v>269</v>
      </c>
      <c r="C10" s="105"/>
      <c r="D10" s="106"/>
      <c r="E10" s="9">
        <v>18417383.378116488</v>
      </c>
      <c r="F10" s="14" t="s">
        <v>3</v>
      </c>
      <c r="G10" s="1"/>
    </row>
    <row r="11" spans="1:7" x14ac:dyDescent="0.25">
      <c r="A11" s="1"/>
      <c r="B11" s="104" t="s">
        <v>270</v>
      </c>
      <c r="C11" s="105"/>
      <c r="D11" s="106"/>
      <c r="E11" s="9">
        <v>18417383.378116488</v>
      </c>
      <c r="F11" s="14" t="s">
        <v>3</v>
      </c>
      <c r="G11" s="1"/>
    </row>
    <row r="12" spans="1:7" x14ac:dyDescent="0.25">
      <c r="A12" s="1"/>
      <c r="B12" s="104" t="s">
        <v>271</v>
      </c>
      <c r="C12" s="105"/>
      <c r="D12" s="106"/>
      <c r="E12" s="9">
        <v>4308484.1866855472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273</v>
      </c>
      <c r="C16" s="96"/>
      <c r="D16" s="96"/>
      <c r="E16" s="96"/>
      <c r="F16" s="97"/>
      <c r="G16" s="1"/>
    </row>
    <row r="17" spans="1:7" x14ac:dyDescent="0.2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2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8" t="s">
        <v>276</v>
      </c>
      <c r="C20" s="99"/>
      <c r="D20" s="99"/>
      <c r="E20" s="99"/>
      <c r="F20" s="10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3" t="s">
        <v>213</v>
      </c>
      <c r="C22" s="54"/>
      <c r="D22" s="54"/>
      <c r="E22" s="54"/>
      <c r="F22" s="55"/>
      <c r="G22" s="1"/>
    </row>
    <row r="23" spans="1:7" x14ac:dyDescent="0.25">
      <c r="A23" s="1"/>
      <c r="B23" s="59" t="s">
        <v>214</v>
      </c>
      <c r="C23" s="60"/>
      <c r="D23" s="61"/>
      <c r="E23" s="9">
        <v>92818856.19560197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82968982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6" t="s">
        <v>277</v>
      </c>
      <c r="C26" s="57"/>
      <c r="D26" s="64"/>
      <c r="E26" s="48">
        <f>E23-(E24-E25)</f>
        <v>9849874.19560197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5" t="s">
        <v>186</v>
      </c>
      <c r="C30" s="96"/>
      <c r="D30" s="96"/>
      <c r="E30" s="96"/>
      <c r="F30" s="97"/>
      <c r="G30" s="1"/>
    </row>
    <row r="31" spans="1:7" x14ac:dyDescent="0.25">
      <c r="A31" s="1"/>
      <c r="B31" s="120" t="s">
        <v>281</v>
      </c>
      <c r="C31" s="121"/>
      <c r="D31" s="122"/>
      <c r="E31" s="9">
        <v>3</v>
      </c>
      <c r="F31" s="14"/>
      <c r="G31" s="1"/>
    </row>
    <row r="32" spans="1:7" x14ac:dyDescent="0.2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2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25">
      <c r="A35" s="1"/>
      <c r="B35" s="117"/>
      <c r="C35" s="118"/>
      <c r="D35" s="118"/>
      <c r="E35" s="118"/>
      <c r="F35" s="119"/>
      <c r="G35" s="1"/>
    </row>
    <row r="36" spans="1:7" ht="75" customHeight="1" x14ac:dyDescent="0.25">
      <c r="A36" s="1"/>
      <c r="B36" s="98" t="s">
        <v>280</v>
      </c>
      <c r="C36" s="99"/>
      <c r="D36" s="99"/>
      <c r="E36" s="99"/>
      <c r="F36" s="10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GTh2ZGEkxHgMnw+JB1FDFUHV8aQklRnPWL+SWrVgtSQEksaenKQ/ZyXrm0mv3hqJ7hUYTJurjETURu5cJflKdw==" saltValue="35GsV59pqX8D7+To+UH6Dg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217</v>
      </c>
      <c r="C9" s="96"/>
      <c r="D9" s="96"/>
      <c r="E9" s="96"/>
      <c r="F9" s="97"/>
      <c r="G9" s="1"/>
    </row>
    <row r="10" spans="1:7" x14ac:dyDescent="0.25">
      <c r="A10" s="1"/>
      <c r="B10" s="98" t="s">
        <v>118</v>
      </c>
      <c r="C10" s="99"/>
      <c r="D10" s="100"/>
      <c r="E10" s="7">
        <v>1547831.2196564078</v>
      </c>
      <c r="F10" s="8" t="s">
        <v>3</v>
      </c>
      <c r="G10" s="1"/>
    </row>
    <row r="11" spans="1:7" x14ac:dyDescent="0.2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3"/>
      <c r="E12" s="10">
        <f>E11-E10</f>
        <v>-1547831.2196564078</v>
      </c>
      <c r="F12" s="11" t="s">
        <v>3</v>
      </c>
      <c r="G12" s="1"/>
    </row>
    <row r="13" spans="1:7" x14ac:dyDescent="0.25">
      <c r="A13" s="1"/>
      <c r="B13" s="95" t="s">
        <v>109</v>
      </c>
      <c r="C13" s="96"/>
      <c r="D13" s="96"/>
      <c r="E13" s="96"/>
      <c r="F13" s="97"/>
      <c r="G13" s="1"/>
    </row>
    <row r="14" spans="1:7" x14ac:dyDescent="0.2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-1547831.2196564078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N60Im1lEp4ld6tZPVWpQJutETS2EV1SoSUP7GRyd+BjFnTia4xAX/7ttDfmqUcqcb/ZLmhWNTkCOxreeB8k0A==" saltValue="JRf5yyBr2AMzrgDRUIADM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fLBqnyYMwI9Ks9CDzv2QAEM5ur1h65vl3etHExzfVnhbrE5D/ykaSsgaHv78FHgZVoIXHzOs7O5XJ9CjykETA==" saltValue="sErUlFuhxM/H0Pv8JquOG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w+9RC4lslgMnkBiqrgk01oVssPj6w05DtclfNE2jw235XjEqfwlF6fbavciL6sxjoK29tMMeeNTpuKeK6jWlnA==" saltValue="afW75g+MkewH/2olUXSS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112</v>
      </c>
      <c r="C8" s="96"/>
      <c r="D8" s="96"/>
      <c r="E8" s="96"/>
      <c r="F8" s="97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279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113</v>
      </c>
      <c r="C16" s="96"/>
      <c r="D16" s="96"/>
      <c r="E16" s="96"/>
      <c r="F16" s="97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25">
      <c r="A18" s="1"/>
      <c r="B18" s="25" t="s">
        <v>279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166</v>
      </c>
      <c r="C24" s="96"/>
      <c r="D24" s="96"/>
      <c r="E24" s="96"/>
      <c r="F24" s="97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25">
      <c r="A26" s="1"/>
      <c r="B26" s="25" t="s">
        <v>279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224</v>
      </c>
      <c r="C32" s="96"/>
      <c r="D32" s="96"/>
      <c r="E32" s="96"/>
      <c r="F32" s="97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25">
      <c r="A34" s="1"/>
      <c r="B34" s="25" t="s">
        <v>279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qLalUceFxy6DxT/LFmkipfmuH3AAYV1bXrxyfhB7/i1yTKMjQN3KQCSlCKabKgHSvUG4SD4H1UNCK8CL8x9tg==" saltValue="V7dCnn5B+r1aPLBB7OmC+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03"/>
      <c r="C5" s="103"/>
      <c r="D5" s="103"/>
      <c r="E5" s="103"/>
      <c r="F5" s="10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103</v>
      </c>
      <c r="C8" s="96"/>
      <c r="D8" s="96"/>
      <c r="E8" s="96"/>
      <c r="F8" s="97"/>
      <c r="G8" s="1"/>
    </row>
    <row r="9" spans="1:7" x14ac:dyDescent="0.25">
      <c r="A9" s="1"/>
      <c r="B9" s="124" t="s">
        <v>226</v>
      </c>
      <c r="C9" s="125"/>
      <c r="D9" s="126"/>
      <c r="E9" s="9">
        <v>457919.46062576456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9" t="s">
        <v>26</v>
      </c>
      <c r="C11" s="90"/>
      <c r="D11" s="91"/>
      <c r="E11" s="9">
        <f>-E9*'Fane 14. Nøgletal'!C29</f>
        <v>-9158.3892125152906</v>
      </c>
      <c r="F11" s="14" t="s">
        <v>3</v>
      </c>
      <c r="G11" s="1"/>
    </row>
    <row r="12" spans="1:7" x14ac:dyDescent="0.25">
      <c r="A12" s="1"/>
      <c r="B12" s="95" t="s">
        <v>105</v>
      </c>
      <c r="C12" s="96"/>
      <c r="D12" s="97"/>
      <c r="E12" s="12">
        <f>SUM(E9:E11)*(1+'Fane 14. Nøgletal'!C14)^2</f>
        <v>451727.78149264451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25">
      <c r="A15" s="1"/>
      <c r="B15" s="124" t="s">
        <v>226</v>
      </c>
      <c r="C15" s="125"/>
      <c r="D15" s="126"/>
      <c r="E15" s="9">
        <v>457919.46062576456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9" t="s">
        <v>26</v>
      </c>
      <c r="C17" s="90"/>
      <c r="D17" s="91"/>
      <c r="E17" s="9">
        <f>-E15*'Fane 14. Nøgletal'!C29</f>
        <v>-9158.3892125152906</v>
      </c>
      <c r="F17" s="14" t="s">
        <v>3</v>
      </c>
      <c r="G17" s="1"/>
    </row>
    <row r="18" spans="1:7" x14ac:dyDescent="0.25">
      <c r="A18" s="1"/>
      <c r="B18" s="95" t="s">
        <v>106</v>
      </c>
      <c r="C18" s="96"/>
      <c r="D18" s="97"/>
      <c r="E18" s="12">
        <f>SUM(E15:E17)*(1+'Fane 14. Nøgletal'!C14)^3</f>
        <v>453218.48317157029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25">
      <c r="A21" s="1"/>
      <c r="B21" s="124" t="s">
        <v>226</v>
      </c>
      <c r="C21" s="125"/>
      <c r="D21" s="126"/>
      <c r="E21" s="9">
        <v>457919.46062576456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9" t="s">
        <v>26</v>
      </c>
      <c r="C23" s="90"/>
      <c r="D23" s="91"/>
      <c r="E23" s="9">
        <f>-E21*'Fane 14. Nøgletal'!C29</f>
        <v>-9158.3892125152906</v>
      </c>
      <c r="F23" s="14" t="s">
        <v>3</v>
      </c>
      <c r="G23" s="1"/>
    </row>
    <row r="24" spans="1:7" x14ac:dyDescent="0.25">
      <c r="A24" s="1"/>
      <c r="B24" s="95" t="s">
        <v>156</v>
      </c>
      <c r="C24" s="96"/>
      <c r="D24" s="97"/>
      <c r="E24" s="12">
        <f>SUM(E21:E23)*(1+'Fane 14. Nøgletal'!C14)^4</f>
        <v>454714.10416603647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25">
      <c r="A27" s="1"/>
      <c r="B27" s="124" t="s">
        <v>226</v>
      </c>
      <c r="C27" s="125"/>
      <c r="D27" s="126"/>
      <c r="E27" s="9">
        <v>457919.46062576456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9" t="s">
        <v>26</v>
      </c>
      <c r="C29" s="90"/>
      <c r="D29" s="91"/>
      <c r="E29" s="9">
        <f>-E27*'Fane 14. Nøgletal'!C29</f>
        <v>-9158.3892125152906</v>
      </c>
      <c r="F29" s="14" t="s">
        <v>3</v>
      </c>
      <c r="G29" s="1"/>
    </row>
    <row r="30" spans="1:7" x14ac:dyDescent="0.25">
      <c r="A30" s="1"/>
      <c r="B30" s="95" t="s">
        <v>228</v>
      </c>
      <c r="C30" s="96"/>
      <c r="D30" s="97"/>
      <c r="E30" s="12">
        <f>SUM(E27:E29)*(1+'Fane 14. Nøgletal'!C14)^5</f>
        <v>456214.66070978448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6Uu2Qj+U/IPt2sXqOqBFUn2xf3O6foYMNGg6S1hYrAT5wp/YlQX5QONtD9if7tXF693wseRZLzVlxxPcdwd3g==" saltValue="SYhO/GK33GNbGINpW902a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mGkgTEN794GbdHea3rK6vsINd3V9X3Wc49ZChrt0VLG6JY7HCBOQJ6Uu/QaReGPxDNG763OooGWuTU/Dto55ag==" saltValue="ck8jF/lXB2y8/7upIpWB7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108</v>
      </c>
      <c r="C14" s="96"/>
      <c r="D14" s="96"/>
      <c r="E14" s="96"/>
      <c r="F14" s="97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169</v>
      </c>
      <c r="C20" s="96"/>
      <c r="D20" s="96"/>
      <c r="E20" s="96"/>
      <c r="F20" s="97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231</v>
      </c>
      <c r="C26" s="96"/>
      <c r="D26" s="96"/>
      <c r="E26" s="96"/>
      <c r="F26" s="97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EA7qVrK/w7LG2JvfZiHvRzVxUZRKxYHVrXvbnqe1ZnWktAtx7y5ehGwUCxOgKGBVE1GxUigIWVR36q9Wbdvjg==" saltValue="tiCQDZ079cG3+x02W5g7T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3" t="s">
        <v>189</v>
      </c>
      <c r="C3" s="103"/>
      <c r="D3" s="1"/>
    </row>
    <row r="4" spans="1:4" ht="25.5" customHeight="1" x14ac:dyDescent="0.25">
      <c r="A4" s="1"/>
      <c r="B4" s="103"/>
      <c r="C4" s="10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/WoevhZG63vs1p9SvDMJwn8sQu8B7rGEKmBkWLJdzPBj5bstJODwcnN7JRhQdyDCQrPn/U2z1zr9QXWxS+wyng==" saltValue="mZgff+DnQCaNYK4/63cJo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194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95681308.224667221</v>
      </c>
      <c r="D9" s="8" t="s">
        <v>3</v>
      </c>
      <c r="E9" s="1"/>
    </row>
    <row r="10" spans="1:5" ht="17.100000000000001" customHeight="1" x14ac:dyDescent="0.2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SUM(C9:C15)*'Fane 14. Nøgletal'!C14</f>
        <v>315748.31714140181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26</v>
      </c>
      <c r="C18" s="9">
        <f>-'Fane 4.1. Gen. krav - drift'!G39</f>
        <v>-619535.9932290162</v>
      </c>
      <c r="D18" s="8" t="s">
        <v>3</v>
      </c>
      <c r="E18" s="1"/>
    </row>
    <row r="19" spans="1:5" ht="17.100000000000001" customHeight="1" x14ac:dyDescent="0.25">
      <c r="A19" s="1"/>
      <c r="B19" s="50" t="s">
        <v>27</v>
      </c>
      <c r="C19" s="9">
        <f>-'Fane 4.2. Gen. krav - anlæg'!G37</f>
        <v>-990933.60854192078</v>
      </c>
      <c r="D19" s="8" t="s">
        <v>3</v>
      </c>
      <c r="E19" s="1"/>
    </row>
    <row r="20" spans="1:5" ht="17.100000000000001" customHeight="1" x14ac:dyDescent="0.25">
      <c r="A20" s="1"/>
      <c r="B20" s="56" t="s">
        <v>22</v>
      </c>
      <c r="C20" s="10">
        <f>SUM(C9:C19)</f>
        <v>94386586.940037683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1803494.4010685002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6" t="s">
        <v>94</v>
      </c>
      <c r="C24" s="10">
        <f>'Fane 11. Periodevise driftsomk.'!E12</f>
        <v>451727.78149264451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-1547831.2196564078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95093977.902942419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LIX7E5CQjgWryh1DOsvtikATMTotIWJMw5v3baAvYV0B62+oPCcv+ydZ15WVmot6oIrfNSsPd4DaDJNdspMjyg==" saltValue="fN79n5P5X7HbJ94aEQCD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196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/>
      <c r="C5" s="88"/>
      <c r="D5" s="8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94386586.940037683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311475.73690212436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-609148.85276653862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-979489.47484624758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93109424.349327013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1809445.9325920264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driftsomk.'!E18</f>
        <v>453218.48317157029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95372088.7650906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ug7V/GCsRJuWnRgvmLQ+HxZT2I0dWumljw3W3aOUSuC0+iEqbsqCWzu+DqZBrGToybRb2wIGxVGdj/McxmV7dw==" saltValue="poTxCIVbG/Z/DFZLkzDY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197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93109424.349327013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307261.10035277915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-598935.8631010548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-968177.50761956442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91849572.078959182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1815417.1041695802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driftsomk.'!E24</f>
        <v>454714.10416603647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94119703.28729479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wdTcCJBwrgt/7u+74pohcinXjib7SBW1vaDYCfqkoijy7plVN7l+9w/sHuHvs4XL90bT82kdZJp3dKF0j0quA==" saltValue="GTZz6Jt8YNONS608Apn+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7" t="s">
        <v>198</v>
      </c>
      <c r="C3" s="87"/>
      <c r="D3" s="87"/>
      <c r="E3" s="1"/>
    </row>
    <row r="4" spans="1:5" ht="15" customHeight="1" x14ac:dyDescent="0.25">
      <c r="A4" s="1"/>
      <c r="B4" s="87"/>
      <c r="C4" s="87"/>
      <c r="D4" s="87"/>
      <c r="E4" s="1"/>
    </row>
    <row r="5" spans="1:5" x14ac:dyDescent="0.25">
      <c r="A5" s="1"/>
      <c r="B5" s="88" t="s">
        <v>23</v>
      </c>
      <c r="C5" s="88"/>
      <c r="D5" s="8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91849572.078959182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303103.58786056528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-588894.10442030255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-956996.18049246736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90606785.381906986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1821407.9806133399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driftsomk.'!E30</f>
        <v>456214.66070978448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92884408.023230106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MjwoLXzSNYGRBcu+CSjwOi9kUMQN86PiTVgjGI3qfw+TvvODYYh2LtaEw6CU8g/rPnOVaxxPIDlaTBpGZP3FSA==" saltValue="mMsV8bzLBBbrXYyKNjt0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25">
      <c r="A4" s="1"/>
      <c r="B4" s="103"/>
      <c r="C4" s="103"/>
      <c r="D4" s="103"/>
      <c r="E4" s="103"/>
      <c r="F4" s="10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98" t="s">
        <v>25</v>
      </c>
      <c r="C9" s="99"/>
      <c r="D9" s="100"/>
      <c r="E9" s="7">
        <v>95752439.229517043</v>
      </c>
      <c r="F9" s="8" t="s">
        <v>3</v>
      </c>
      <c r="G9" s="1"/>
    </row>
    <row r="10" spans="1:7" ht="15" customHeight="1" x14ac:dyDescent="0.2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25">
      <c r="A11" s="1"/>
      <c r="B11" s="89" t="s">
        <v>44</v>
      </c>
      <c r="C11" s="90"/>
      <c r="D11" s="91"/>
      <c r="E11" s="9">
        <v>615229.3308</v>
      </c>
      <c r="F11" s="8" t="s">
        <v>3</v>
      </c>
      <c r="G11" s="1"/>
    </row>
    <row r="12" spans="1:7" ht="15" customHeight="1" x14ac:dyDescent="0.2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2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2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2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25">
      <c r="A16" s="1"/>
      <c r="B16" s="98" t="s">
        <v>20</v>
      </c>
      <c r="C16" s="99"/>
      <c r="D16" s="100"/>
      <c r="E16" s="9">
        <v>1893828.8506572456</v>
      </c>
      <c r="F16" s="8" t="s">
        <v>3</v>
      </c>
      <c r="G16" s="1"/>
    </row>
    <row r="17" spans="1:7" ht="15" customHeight="1" x14ac:dyDescent="0.2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25">
      <c r="A18" s="1"/>
      <c r="B18" s="98" t="s">
        <v>26</v>
      </c>
      <c r="C18" s="99"/>
      <c r="D18" s="100"/>
      <c r="E18" s="9">
        <f>-'Fane 4.1. Gen. krav - drift'!G33</f>
        <v>-630100.25408907351</v>
      </c>
      <c r="F18" s="8" t="s">
        <v>3</v>
      </c>
      <c r="G18" s="1"/>
    </row>
    <row r="19" spans="1:7" ht="15" customHeight="1" x14ac:dyDescent="0.25">
      <c r="A19" s="1"/>
      <c r="B19" s="98" t="s">
        <v>27</v>
      </c>
      <c r="C19" s="99"/>
      <c r="D19" s="100"/>
      <c r="E19" s="9">
        <f>-'Fane 4.2. Gen. krav - anlæg'!G31</f>
        <v>-1950088.93221798</v>
      </c>
      <c r="F19" s="8" t="s">
        <v>3</v>
      </c>
      <c r="G19" s="1"/>
    </row>
    <row r="20" spans="1:7" ht="15" customHeight="1" x14ac:dyDescent="0.25">
      <c r="A20" s="1"/>
      <c r="B20" s="56" t="s">
        <v>22</v>
      </c>
      <c r="C20" s="57"/>
      <c r="D20" s="64"/>
      <c r="E20" s="10">
        <f>SUM(E9:E19)</f>
        <v>95681308.224667221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2" t="s">
        <v>13</v>
      </c>
      <c r="C22" s="93"/>
      <c r="D22" s="94"/>
      <c r="E22" s="10">
        <v>1736494.5097810801</v>
      </c>
      <c r="F22" s="11" t="s">
        <v>3</v>
      </c>
      <c r="G22" s="1"/>
    </row>
    <row r="23" spans="1:7" ht="15" customHeight="1" x14ac:dyDescent="0.2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25">
      <c r="A24" s="1"/>
      <c r="B24" s="56" t="s">
        <v>94</v>
      </c>
      <c r="C24" s="43"/>
      <c r="D24" s="44"/>
      <c r="E24" s="10">
        <v>497100.13196734095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2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97914902.86641565</v>
      </c>
      <c r="F33" s="13" t="s">
        <v>3</v>
      </c>
      <c r="G33" s="1"/>
    </row>
    <row r="34" spans="1:7" ht="27" customHeight="1" x14ac:dyDescent="0.25">
      <c r="A34" s="1"/>
      <c r="B34" s="98" t="s">
        <v>252</v>
      </c>
      <c r="C34" s="99"/>
      <c r="D34" s="99"/>
      <c r="E34" s="99"/>
      <c r="F34" s="10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gNOe/eMe9dYKT83ndUPctVO8OCSixyMeyDpukgP4/3r2gJcanPa1f/ylj0RD3yebFI2e+aZgc8OmsFHCfZgww==" saltValue="dWmHEuJyWKzM6saQl2iaOA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25">
      <c r="A3" s="1"/>
      <c r="B3" s="103"/>
      <c r="C3" s="103"/>
      <c r="D3" s="103"/>
      <c r="E3" s="103"/>
      <c r="F3" s="103"/>
      <c r="G3" s="103"/>
      <c r="H3" s="103"/>
      <c r="I3" s="1"/>
    </row>
    <row r="4" spans="1:9" x14ac:dyDescent="0.25">
      <c r="A4" s="1"/>
      <c r="B4" s="95" t="s">
        <v>56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45</v>
      </c>
      <c r="C5" s="105"/>
      <c r="D5" s="105"/>
      <c r="E5" s="105"/>
      <c r="F5" s="106"/>
      <c r="G5" s="24">
        <v>31411795.835707571</v>
      </c>
      <c r="H5" s="14" t="s">
        <v>3</v>
      </c>
      <c r="I5" s="1"/>
    </row>
    <row r="6" spans="1:9" x14ac:dyDescent="0.25">
      <c r="A6" s="1"/>
      <c r="B6" s="98" t="s">
        <v>145</v>
      </c>
      <c r="C6" s="99"/>
      <c r="D6" s="99"/>
      <c r="E6" s="99"/>
      <c r="F6" s="100"/>
      <c r="G6" s="24">
        <v>962065</v>
      </c>
      <c r="H6" s="14" t="s">
        <v>3</v>
      </c>
      <c r="I6" s="1"/>
    </row>
    <row r="7" spans="1:9" x14ac:dyDescent="0.25">
      <c r="A7" s="1"/>
      <c r="B7" s="104" t="s">
        <v>46</v>
      </c>
      <c r="C7" s="105"/>
      <c r="D7" s="105"/>
      <c r="E7" s="105"/>
      <c r="F7" s="106"/>
      <c r="G7" s="24">
        <f>SUM(G5:G6)*'Fane 14. Nøgletal'!C29</f>
        <v>647477.21671415144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57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104" t="s">
        <v>47</v>
      </c>
      <c r="C11" s="105"/>
      <c r="D11" s="105"/>
      <c r="E11" s="105"/>
      <c r="F11" s="106"/>
      <c r="G11" s="24">
        <f>(G5-G7)*(1+'Fane 14. Nøgletal'!C10)</f>
        <v>31302694.194825806</v>
      </c>
      <c r="H11" s="14" t="s">
        <v>3</v>
      </c>
      <c r="I11" s="1"/>
    </row>
    <row r="12" spans="1:9" ht="15" customHeight="1" x14ac:dyDescent="0.25">
      <c r="A12" s="1"/>
      <c r="B12" s="104" t="s">
        <v>146</v>
      </c>
      <c r="C12" s="105"/>
      <c r="D12" s="105"/>
      <c r="E12" s="105"/>
      <c r="F12" s="106"/>
      <c r="G12" s="24">
        <v>347830.02632941125</v>
      </c>
      <c r="H12" s="14" t="s">
        <v>3</v>
      </c>
      <c r="I12" s="1"/>
    </row>
    <row r="13" spans="1:9" x14ac:dyDescent="0.25">
      <c r="A13" s="1"/>
      <c r="B13" s="98" t="s">
        <v>143</v>
      </c>
      <c r="C13" s="99"/>
      <c r="D13" s="99"/>
      <c r="E13" s="99"/>
      <c r="F13" s="100"/>
      <c r="G13" s="24">
        <v>566732.23750000005</v>
      </c>
      <c r="H13" s="14" t="s">
        <v>3</v>
      </c>
      <c r="I13" s="1"/>
    </row>
    <row r="14" spans="1:9" x14ac:dyDescent="0.25">
      <c r="A14" s="1"/>
      <c r="B14" s="107" t="s">
        <v>48</v>
      </c>
      <c r="C14" s="108"/>
      <c r="D14" s="108"/>
      <c r="E14" s="108"/>
      <c r="F14" s="109"/>
      <c r="G14" s="68">
        <v>0</v>
      </c>
      <c r="H14" s="14" t="s">
        <v>3</v>
      </c>
      <c r="I14" s="1"/>
    </row>
    <row r="15" spans="1:9" x14ac:dyDescent="0.25">
      <c r="A15" s="1"/>
      <c r="B15" s="104" t="s">
        <v>49</v>
      </c>
      <c r="C15" s="105"/>
      <c r="D15" s="105"/>
      <c r="E15" s="105"/>
      <c r="F15" s="106"/>
      <c r="G15" s="24">
        <f>SUM(G11:G14)*'Fane 14. Nøgletal'!C29</f>
        <v>644345.12917310442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5" t="s">
        <v>58</v>
      </c>
      <c r="C18" s="96"/>
      <c r="D18" s="96"/>
      <c r="E18" s="96"/>
      <c r="F18" s="96"/>
      <c r="G18" s="96"/>
      <c r="H18" s="97"/>
      <c r="I18" s="1"/>
    </row>
    <row r="19" spans="1:9" x14ac:dyDescent="0.25">
      <c r="A19" s="1"/>
      <c r="B19" s="104" t="s">
        <v>50</v>
      </c>
      <c r="C19" s="105"/>
      <c r="D19" s="105"/>
      <c r="E19" s="105"/>
      <c r="F19" s="106"/>
      <c r="G19" s="24">
        <f>(SUM(G11:G12,G14)-(G15))*(1+'Fane 14. Nøgletal'!C10)</f>
        <v>31548787.226091806</v>
      </c>
      <c r="H19" s="14" t="s">
        <v>3</v>
      </c>
      <c r="I19" s="1"/>
    </row>
    <row r="20" spans="1:9" x14ac:dyDescent="0.25">
      <c r="A20" s="1"/>
      <c r="B20" s="107" t="s">
        <v>51</v>
      </c>
      <c r="C20" s="108"/>
      <c r="D20" s="108"/>
      <c r="E20" s="108"/>
      <c r="F20" s="109"/>
      <c r="G20" s="68">
        <v>0</v>
      </c>
      <c r="H20" s="14" t="s">
        <v>3</v>
      </c>
      <c r="I20" s="1"/>
    </row>
    <row r="21" spans="1:9" x14ac:dyDescent="0.25">
      <c r="A21" s="1"/>
      <c r="B21" s="104" t="s">
        <v>52</v>
      </c>
      <c r="C21" s="105"/>
      <c r="D21" s="105"/>
      <c r="E21" s="105"/>
      <c r="F21" s="106"/>
      <c r="G21" s="24">
        <f>SUM(G19:G20)*'Fane 14. Nøgletal'!C29</f>
        <v>630975.74452183617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59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04" t="s">
        <v>53</v>
      </c>
      <c r="C25" s="105"/>
      <c r="D25" s="105"/>
      <c r="E25" s="105"/>
      <c r="F25" s="106"/>
      <c r="G25" s="24">
        <f>(G19+G20-G21)*(1+'Fane 14. Nøgletal'!C12)</f>
        <v>31526892.367756899</v>
      </c>
      <c r="H25" s="14" t="s">
        <v>3</v>
      </c>
      <c r="I25" s="1"/>
    </row>
    <row r="26" spans="1:9" x14ac:dyDescent="0.25">
      <c r="A26" s="1"/>
      <c r="B26" s="107" t="s">
        <v>54</v>
      </c>
      <c r="C26" s="108"/>
      <c r="D26" s="108"/>
      <c r="E26" s="108"/>
      <c r="F26" s="109"/>
      <c r="G26" s="68">
        <v>0</v>
      </c>
      <c r="H26" s="14" t="s">
        <v>3</v>
      </c>
      <c r="I26" s="1"/>
    </row>
    <row r="27" spans="1:9" x14ac:dyDescent="0.25">
      <c r="A27" s="1"/>
      <c r="B27" s="104" t="s">
        <v>55</v>
      </c>
      <c r="C27" s="105"/>
      <c r="D27" s="105"/>
      <c r="E27" s="105"/>
      <c r="F27" s="106"/>
      <c r="G27" s="24">
        <f>(G25+G26)*'Fane 14. Nøgletal'!C29</f>
        <v>630537.84735513804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5" t="s">
        <v>62</v>
      </c>
      <c r="C30" s="96"/>
      <c r="D30" s="96"/>
      <c r="E30" s="96"/>
      <c r="F30" s="96"/>
      <c r="G30" s="96"/>
      <c r="H30" s="97"/>
      <c r="I30" s="1"/>
    </row>
    <row r="31" spans="1:9" x14ac:dyDescent="0.25">
      <c r="A31" s="1"/>
      <c r="B31" s="104" t="s">
        <v>63</v>
      </c>
      <c r="C31" s="105"/>
      <c r="D31" s="105"/>
      <c r="E31" s="105"/>
      <c r="F31" s="106"/>
      <c r="G31" s="24">
        <f>(G25+G26-G27)*(1+'Fane 14. Nøgletal'!C12)</f>
        <v>31505012.704453677</v>
      </c>
      <c r="H31" s="14" t="s">
        <v>3</v>
      </c>
      <c r="I31" s="1"/>
    </row>
    <row r="32" spans="1:9" x14ac:dyDescent="0.25">
      <c r="A32" s="1"/>
      <c r="B32" s="104" t="s">
        <v>171</v>
      </c>
      <c r="C32" s="105"/>
      <c r="D32" s="105"/>
      <c r="E32" s="105"/>
      <c r="F32" s="106"/>
      <c r="G32" s="68">
        <v>0</v>
      </c>
      <c r="H32" s="14" t="s">
        <v>3</v>
      </c>
      <c r="I32" s="1"/>
    </row>
    <row r="33" spans="1:9" x14ac:dyDescent="0.25">
      <c r="A33" s="1"/>
      <c r="B33" s="104" t="s">
        <v>64</v>
      </c>
      <c r="C33" s="105"/>
      <c r="D33" s="105"/>
      <c r="E33" s="105"/>
      <c r="F33" s="106"/>
      <c r="G33" s="24">
        <f>(G31+G32)*'Fane 14. Nøgletal'!C29</f>
        <v>630100.25408907351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5" t="s">
        <v>232</v>
      </c>
      <c r="C36" s="96"/>
      <c r="D36" s="96"/>
      <c r="E36" s="96"/>
      <c r="F36" s="96"/>
      <c r="G36" s="96"/>
      <c r="H36" s="97"/>
      <c r="I36" s="1"/>
    </row>
    <row r="37" spans="1:9" x14ac:dyDescent="0.25">
      <c r="A37" s="1"/>
      <c r="B37" s="104" t="s">
        <v>84</v>
      </c>
      <c r="C37" s="105"/>
      <c r="D37" s="105"/>
      <c r="E37" s="105"/>
      <c r="F37" s="106"/>
      <c r="G37" s="24">
        <f>(G31+G32-G33)*(1+'Fane 14. Nøgletal'!C14)</f>
        <v>30976799.661450811</v>
      </c>
      <c r="H37" s="14" t="s">
        <v>3</v>
      </c>
      <c r="I37" s="1"/>
    </row>
    <row r="38" spans="1:9" x14ac:dyDescent="0.25">
      <c r="A38" s="1"/>
      <c r="B38" s="104" t="s">
        <v>236</v>
      </c>
      <c r="C38" s="105"/>
      <c r="D38" s="105"/>
      <c r="E38" s="105"/>
      <c r="F38" s="106"/>
      <c r="G38" s="68">
        <f>SUM('Fane 2.1. Økonomisk ramme 2022'!C10,'Fane 2.1. Økonomisk ramme 2022'!C12,'Fane 2.1. Økonomisk ramme 2022'!C14)*(1+'Fane 14. Nøgletal'!C14)</f>
        <v>0</v>
      </c>
      <c r="H38" s="14" t="s">
        <v>3</v>
      </c>
      <c r="I38" s="1"/>
    </row>
    <row r="39" spans="1:9" x14ac:dyDescent="0.25">
      <c r="A39" s="1"/>
      <c r="B39" s="104" t="s">
        <v>234</v>
      </c>
      <c r="C39" s="105"/>
      <c r="D39" s="105"/>
      <c r="E39" s="105"/>
      <c r="F39" s="106"/>
      <c r="G39" s="24">
        <f>(G37+G38)*'Fane 14. Nøgletal'!C29</f>
        <v>619535.9932290162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5" t="s">
        <v>233</v>
      </c>
      <c r="C42" s="96"/>
      <c r="D42" s="96"/>
      <c r="E42" s="96"/>
      <c r="F42" s="96"/>
      <c r="G42" s="96"/>
      <c r="H42" s="97"/>
      <c r="I42" s="1"/>
    </row>
    <row r="43" spans="1:9" x14ac:dyDescent="0.25">
      <c r="A43" s="1"/>
      <c r="B43" s="104" t="s">
        <v>83</v>
      </c>
      <c r="C43" s="105"/>
      <c r="D43" s="105"/>
      <c r="E43" s="105"/>
      <c r="F43" s="106"/>
      <c r="G43" s="24">
        <f>(G37+G38-G39)*(1+'Fane 14. Nøgletal'!C14)</f>
        <v>30457442.638326928</v>
      </c>
      <c r="H43" s="14" t="s">
        <v>3</v>
      </c>
      <c r="I43" s="1"/>
    </row>
    <row r="44" spans="1:9" x14ac:dyDescent="0.25">
      <c r="A44" s="1"/>
      <c r="B44" s="110" t="s">
        <v>237</v>
      </c>
      <c r="C44" s="111"/>
      <c r="D44" s="111"/>
      <c r="E44" s="111"/>
      <c r="F44" s="112"/>
      <c r="G44" s="68">
        <f>G38*(1+'Fane 14. Nøgletal'!C14)</f>
        <v>0</v>
      </c>
      <c r="H44" s="14" t="s">
        <v>3</v>
      </c>
      <c r="I44" s="1"/>
    </row>
    <row r="45" spans="1:9" x14ac:dyDescent="0.25">
      <c r="A45" s="1"/>
      <c r="B45" s="104" t="s">
        <v>97</v>
      </c>
      <c r="C45" s="105"/>
      <c r="D45" s="105"/>
      <c r="E45" s="105"/>
      <c r="F45" s="106"/>
      <c r="G45" s="68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4" t="s">
        <v>235</v>
      </c>
      <c r="C46" s="105"/>
      <c r="D46" s="105"/>
      <c r="E46" s="105"/>
      <c r="F46" s="106"/>
      <c r="G46" s="24">
        <f>(G43+G45)*'Fane 14. Nøgletal'!C29</f>
        <v>609148.85276653862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5" t="s">
        <v>172</v>
      </c>
      <c r="C51" s="96"/>
      <c r="D51" s="96"/>
      <c r="E51" s="96"/>
      <c r="F51" s="96"/>
      <c r="G51" s="96"/>
      <c r="H51" s="97"/>
      <c r="I51" s="1"/>
    </row>
    <row r="52" spans="1:9" x14ac:dyDescent="0.25">
      <c r="A52" s="1"/>
      <c r="B52" s="104" t="s">
        <v>173</v>
      </c>
      <c r="C52" s="105"/>
      <c r="D52" s="105"/>
      <c r="E52" s="105"/>
      <c r="F52" s="106"/>
      <c r="G52" s="24">
        <f>(G43+G45-G46)*(1+'Fane 14. Nøgletal'!C14)</f>
        <v>29946793.15505274</v>
      </c>
      <c r="H52" s="14" t="s">
        <v>3</v>
      </c>
      <c r="I52" s="1"/>
    </row>
    <row r="53" spans="1:9" x14ac:dyDescent="0.25">
      <c r="A53" s="1"/>
      <c r="B53" s="104" t="s">
        <v>174</v>
      </c>
      <c r="C53" s="105"/>
      <c r="D53" s="105"/>
      <c r="E53" s="105"/>
      <c r="F53" s="106"/>
      <c r="G53" s="24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4" t="s">
        <v>175</v>
      </c>
      <c r="C54" s="105"/>
      <c r="D54" s="105"/>
      <c r="E54" s="105"/>
      <c r="F54" s="106"/>
      <c r="G54" s="24">
        <f>(G52+G53)*'Fane 14. Nøgletal'!C29</f>
        <v>598935.8631010548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5" t="s">
        <v>201</v>
      </c>
      <c r="C57" s="96"/>
      <c r="D57" s="96"/>
      <c r="E57" s="96"/>
      <c r="F57" s="96"/>
      <c r="G57" s="96"/>
      <c r="H57" s="97"/>
      <c r="I57" s="1"/>
    </row>
    <row r="58" spans="1:9" x14ac:dyDescent="0.25">
      <c r="A58" s="1"/>
      <c r="B58" s="59" t="s">
        <v>202</v>
      </c>
      <c r="C58" s="60"/>
      <c r="D58" s="60"/>
      <c r="E58" s="60"/>
      <c r="F58" s="61"/>
      <c r="G58" s="24">
        <f>(G52+G53-G54)*(1+'Fane 14. Nøgletal'!C14)</f>
        <v>29444705.221015129</v>
      </c>
      <c r="H58" s="14" t="s">
        <v>3</v>
      </c>
      <c r="I58" s="1"/>
    </row>
    <row r="59" spans="1:9" x14ac:dyDescent="0.25">
      <c r="A59" s="1"/>
      <c r="B59" s="59" t="s">
        <v>203</v>
      </c>
      <c r="C59" s="60"/>
      <c r="D59" s="60"/>
      <c r="E59" s="60"/>
      <c r="F59" s="61"/>
      <c r="G59" s="24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59" t="s">
        <v>204</v>
      </c>
      <c r="C60" s="60"/>
      <c r="D60" s="60"/>
      <c r="E60" s="60"/>
      <c r="F60" s="61"/>
      <c r="G60" s="24">
        <f>(G58+G59)*'Fane 14. Nøgletal'!C29</f>
        <v>588894.10442030255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crtoPrM8N42jf6e9RsWg6tDrFh6xKJF7OZ22zGb5xlDfdx/srrcG7BwK1IzG2iH4mzu7F24VHnvcG05AIEUl7Q==" saltValue="Qg+9Uf4XcVdTIX23emD7Hg==" spinCount="100000" sheet="1" objects="1" scenarios="1"/>
  <mergeCells count="37"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25:F25"/>
    <mergeCell ref="B26:F26"/>
    <mergeCell ref="B27:F27"/>
    <mergeCell ref="B37:F37"/>
    <mergeCell ref="B51:H51"/>
    <mergeCell ref="B14:F14"/>
    <mergeCell ref="B15:F15"/>
    <mergeCell ref="B19:F19"/>
    <mergeCell ref="B20:F20"/>
    <mergeCell ref="B21:F21"/>
    <mergeCell ref="B57:H57"/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2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2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2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65</v>
      </c>
      <c r="C5" s="105"/>
      <c r="D5" s="105"/>
      <c r="E5" s="105"/>
      <c r="F5" s="106"/>
      <c r="G5" s="24">
        <v>67070704.414758794</v>
      </c>
      <c r="H5" s="14" t="s">
        <v>3</v>
      </c>
      <c r="I5" s="1"/>
    </row>
    <row r="6" spans="1:9" x14ac:dyDescent="0.25">
      <c r="A6" s="1"/>
      <c r="B6" s="104" t="s">
        <v>61</v>
      </c>
      <c r="C6" s="105"/>
      <c r="D6" s="105"/>
      <c r="E6" s="105"/>
      <c r="F6" s="106"/>
      <c r="G6" s="24">
        <f>G5*'Fane 14. Nøgletal'!C19</f>
        <v>610343.41017430509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67623417.322164729</v>
      </c>
      <c r="H10" s="14" t="s">
        <v>3</v>
      </c>
      <c r="I10" s="1"/>
    </row>
    <row r="11" spans="1:9" x14ac:dyDescent="0.25">
      <c r="A11" s="1"/>
      <c r="B11" s="104" t="s">
        <v>147</v>
      </c>
      <c r="C11" s="105"/>
      <c r="D11" s="105"/>
      <c r="E11" s="105"/>
      <c r="F11" s="106"/>
      <c r="G11" s="24">
        <v>877879.01331424364</v>
      </c>
      <c r="H11" s="14" t="s">
        <v>3</v>
      </c>
      <c r="I11" s="1"/>
    </row>
    <row r="12" spans="1:9" x14ac:dyDescent="0.2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2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1212472.9451379778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68466377.799671978</v>
      </c>
      <c r="H17" s="14" t="s">
        <v>3</v>
      </c>
      <c r="I17" s="1"/>
    </row>
    <row r="18" spans="1:9" x14ac:dyDescent="0.25">
      <c r="A18" s="1"/>
      <c r="B18" s="107" t="s">
        <v>72</v>
      </c>
      <c r="C18" s="108"/>
      <c r="D18" s="108"/>
      <c r="E18" s="108"/>
      <c r="F18" s="109"/>
      <c r="G18" s="24">
        <v>91439.020064249984</v>
      </c>
      <c r="H18" s="14" t="s">
        <v>3</v>
      </c>
      <c r="I18" s="1"/>
    </row>
    <row r="19" spans="1:9" x14ac:dyDescent="0.2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1212650.406528753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68671866.191547662</v>
      </c>
      <c r="H23" s="14" t="s">
        <v>3</v>
      </c>
      <c r="I23" s="1"/>
    </row>
    <row r="24" spans="1:9" x14ac:dyDescent="0.25">
      <c r="A24" s="1"/>
      <c r="B24" s="107" t="s">
        <v>76</v>
      </c>
      <c r="C24" s="108"/>
      <c r="D24" s="108"/>
      <c r="E24" s="108"/>
      <c r="F24" s="109"/>
      <c r="G24" s="24">
        <v>26346.214675366351</v>
      </c>
      <c r="H24" s="14" t="s">
        <v>3</v>
      </c>
      <c r="I24" s="1"/>
    </row>
    <row r="25" spans="1:9" x14ac:dyDescent="0.2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1951029.2323367342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68062102.682411849</v>
      </c>
      <c r="H29" s="14" t="s">
        <v>3</v>
      </c>
      <c r="I29" s="1"/>
    </row>
    <row r="30" spans="1:9" x14ac:dyDescent="0.25">
      <c r="A30" s="1"/>
      <c r="B30" s="104" t="s">
        <v>176</v>
      </c>
      <c r="C30" s="105"/>
      <c r="D30" s="105"/>
      <c r="E30" s="105"/>
      <c r="F30" s="106"/>
      <c r="G30" s="24">
        <v>622735.12863575993</v>
      </c>
      <c r="H30" s="14" t="s">
        <v>3</v>
      </c>
      <c r="I30" s="1"/>
    </row>
    <row r="31" spans="1:9" x14ac:dyDescent="0.2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1950088.93221798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66954973.550129779</v>
      </c>
      <c r="H35" s="14" t="s">
        <v>3</v>
      </c>
      <c r="I35" s="1"/>
    </row>
    <row r="36" spans="1:9" x14ac:dyDescent="0.25">
      <c r="A36" s="1"/>
      <c r="B36" s="104" t="s">
        <v>240</v>
      </c>
      <c r="C36" s="105"/>
      <c r="D36" s="105"/>
      <c r="E36" s="105"/>
      <c r="F36" s="106"/>
      <c r="G36" s="68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990933.60854192078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66181721.273395106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68">
        <f>G36*(1+'Fane 14. Nøgletal'!C14)</f>
        <v>0</v>
      </c>
      <c r="H42" s="14" t="s">
        <v>3</v>
      </c>
      <c r="I42" s="1"/>
    </row>
    <row r="43" spans="1:9" x14ac:dyDescent="0.25">
      <c r="A43" s="1"/>
      <c r="B43" s="104" t="s">
        <v>101</v>
      </c>
      <c r="C43" s="105"/>
      <c r="D43" s="105"/>
      <c r="E43" s="105"/>
      <c r="F43" s="106"/>
      <c r="G43" s="68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979489.47484624758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2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65417399.163484082</v>
      </c>
      <c r="H53" s="14" t="s">
        <v>3</v>
      </c>
      <c r="I53" s="1"/>
    </row>
    <row r="54" spans="1:9" x14ac:dyDescent="0.25">
      <c r="A54" s="1"/>
      <c r="B54" s="104" t="s">
        <v>183</v>
      </c>
      <c r="C54" s="105"/>
      <c r="D54" s="105"/>
      <c r="E54" s="105"/>
      <c r="F54" s="106"/>
      <c r="G54" s="24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968177.50761956442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2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64661904.087328874</v>
      </c>
      <c r="H59" s="14" t="s">
        <v>3</v>
      </c>
      <c r="I59" s="1"/>
    </row>
    <row r="60" spans="1:9" x14ac:dyDescent="0.25">
      <c r="A60" s="1"/>
      <c r="B60" s="104" t="s">
        <v>256</v>
      </c>
      <c r="C60" s="105"/>
      <c r="D60" s="105"/>
      <c r="E60" s="105"/>
      <c r="F60" s="106"/>
      <c r="G60" s="24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956996.18049246736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tEgi++TcNXTNtQUnF6qZbdxu2GfsZgGlFnhIYm6XjYoWKJqqDE8wHUr7VGjiO0FeW/UL9FG4SIAf0QEe7oMsTA==" saltValue="ytAcwLtM4vGwnI/80hdBA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243</v>
      </c>
      <c r="C9" s="105"/>
      <c r="D9" s="105"/>
      <c r="E9" s="105"/>
      <c r="F9" s="106"/>
      <c r="G9" s="23">
        <v>2.3292110876153402E-3</v>
      </c>
      <c r="H9" s="14"/>
      <c r="I9" s="1"/>
    </row>
    <row r="10" spans="1:9" x14ac:dyDescent="0.25">
      <c r="A10" s="1"/>
      <c r="B10" s="104" t="s">
        <v>86</v>
      </c>
      <c r="C10" s="105"/>
      <c r="D10" s="105"/>
      <c r="E10" s="105"/>
      <c r="F10" s="106"/>
      <c r="G10" s="23">
        <v>8.132926275294208E-3</v>
      </c>
      <c r="H10" s="14"/>
      <c r="I10" s="1"/>
    </row>
    <row r="11" spans="1:9" x14ac:dyDescent="0.2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25">
      <c r="A12" s="1"/>
      <c r="B12" s="104" t="s">
        <v>206</v>
      </c>
      <c r="C12" s="105"/>
      <c r="D12" s="105"/>
      <c r="E12" s="105"/>
      <c r="F12" s="106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2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fE8Gf5UtxoF5XdZjPs0lZWGKutTl9xgCq9wF/6zIvZoKY1hyaFUMIp/EGBi8U6UPfR/GX+cZDn+xt4S5e/KtA==" saltValue="3825B1mPtJE8lZE56cXPW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2021-10-14T14:23:08Z</dcterms:modified>
</cp:coreProperties>
</file>