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Mølleåværket AS (S069)\ØR2024\"/>
    </mc:Choice>
  </mc:AlternateContent>
  <xr:revisionPtr revIDLastSave="0" documentId="13_ncr:1_{A6A1787D-DB1A-4084-A5F7-48FD4B42142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<sst xmlns="http://schemas.openxmlformats.org/spreadsheetml/2006/main" count="657" uniqueCount="292">
  <si>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</si>
  <si>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</si>
  <si>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</si>
  <si>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</si>
  <si>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</si>
  <si>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</si>
  <si>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</si>
  <si>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</si>
  <si>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</si>
  <si>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</si>
  <si>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</si>
  <si>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</si>
  <si>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</si>
  <si>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</si>
  <si>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</si>
  <si>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</si>
  <si>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</si>
  <si>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</si>
  <si>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</si>
  <si>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</si>
  <si>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</si>
  <si>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</si>
  <si>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</si>
  <si>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</si>
  <si>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</si>
  <si>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</si>
  <si>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</si>
  <si>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</si>
  <si>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</si>
  <si>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</si>
  <si>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</si>
  <si>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</si>
  <si>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</si>
  <si>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</si>
  <si>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</si>
  <si>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</si>
  <si>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</si>
  <si>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</si>
  <si>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</si>
  <si>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</si>
  <si>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</si>
  <si>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</si>
  <si>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</si>
  <si>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</si>
  <si>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</si>
  <si>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</si>
  <si>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</si>
  <si>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</si>
  <si>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</si>
  <si>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</si>
  <si>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</si>
  <si>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</si>
  <si>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</si>
  <si>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</si>
  <si>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</si>
  <si>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</si>
  <si>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</si>
  <si>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</si>
  <si>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</si>
  <si>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</si>
  <si>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</si>
  <si>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</si>
  <si>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</si>
  <si>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</si>
  <si>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</si>
  <si>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</si>
  <si>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</si>
  <si>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</si>
  <si>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</si>
  <si>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</si>
  <si>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</si>
  <si>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</si>
  <si>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</si>
  <si>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</si>
  <si>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</si>
  <si>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</si>
  <si>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</si>
  <si>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</si>
  <si>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</si>
  <si>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</si>
  <si>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</si>
  <si>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</si>
  <si>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</si>
  <si>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</si>
  <si>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</si>
  <si>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</si>
  <si>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</si>
  <si>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</si>
  <si>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</si>
  <si>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</si>
  <si>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</si>
  <si>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</si>
  <si>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</si>
  <si>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</si>
  <si>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</si>
  <si>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</si>
  <si>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</si>
  <si>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</si>
  <si>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</si>
  <si>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</si>
  <si>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</si>
  <si>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</si>
  <si>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</si>
  <si>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</si>
  <si>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</si>
  <si>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</si>
  <si>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</si>
  <si>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</si>
  <si>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</si>
  <si>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</si>
  <si>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</si>
  <si>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</si>
  <si>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</si>
  <si>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</si>
  <si>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</si>
  <si>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</si>
  <si>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</si>
  <si>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</si>
  <si>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</si>
  <si>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</si>
  <si>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</si>
  <si>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</si>
  <si>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</si>
  <si>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</si>
  <si>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</si>
  <si>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</si>
  <si>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</si>
  <si>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</si>
  <si>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</si>
  <si>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</si>
  <si>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</si>
  <si>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</si>
  <si>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</si>
  <si>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</si>
  <si>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</si>
  <si>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</si>
  <si>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</si>
  <si>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</si>
  <si>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</si>
  <si>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</si>
  <si>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</si>
  <si>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</si>
  <si>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</si>
  <si>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</si>
  <si>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</si>
  <si>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</si>
  <si>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</si>
  <si>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</si>
  <si>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</si>
  <si>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</si>
  <si>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</si>
  <si>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</si>
  <si>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</si>
  <si>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</si>
  <si>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</si>
  <si>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</si>
  <si>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</si>
  <si>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</si>
  <si>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</si>
  <si>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</si>
  <si>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</si>
  <si>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</si>
  <si>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</si>
  <si>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</si>
  <si>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</si>
  <si>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</si>
  <si>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</si>
  <si>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</si>
  <si>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</si>
  <si>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</si>
  <si>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</si>
  <si>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</si>
  <si>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</si>
  <si>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</si>
  <si>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</si>
  <si>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</si>
  <si>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</si>
  <si>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</si>
  <si>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</si>
  <si>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</si>
  <si>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</si>
  <si>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</si>
  <si>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</si>
  <si>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</si>
  <si>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</si>
  <si>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</si>
  <si>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</si>
  <si>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</si>
  <si>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</si>
  <si>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</si>
  <si>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</si>
  <si>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</si>
  <si>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</si>
  <si>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</si>
  <si>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</si>
  <si>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</si>
  <si>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</si>
  <si>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</si>
  <si>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</si>
  <si>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</si>
  <si>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</si>
  <si>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</si>
  <si>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</si>
  <si>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</si>
  <si>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</si>
  <si>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</si>
  <si>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</si>
  <si>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</si>
  <si>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</si>
  <si>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</si>
  <si>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</si>
  <si>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</si>
  <si>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</si>
  <si>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</si>
  <si>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</si>
  <si>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</si>
  <si>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</si>
  <si>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</si>
  <si>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</si>
  <si>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</si>
  <si>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</si>
  <si>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</si>
  <si>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</si>
  <si>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</si>
  <si>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</si>
  <si>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</si>
  <si>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</si>
  <si>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</si>
  <si>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</si>
  <si>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</si>
  <si>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</si>
  <si>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</si>
  <si>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</si>
  <si>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</si>
  <si>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</si>
  <si>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</si>
  <si>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</si>
  <si>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</si>
  <si>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</si>
  <si>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</si>
  <si>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</si>
  <si>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</si>
  <si>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</si>
  <si>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</si>
  <si>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</si>
  <si>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</si>
  <si>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</si>
  <si>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</si>
  <si>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</si>
  <si>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</si>
  <si>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</si>
  <si>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</si>
  <si>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</si>
  <si>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</si>
  <si>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</si>
  <si>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</si>
  <si>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</si>
  <si>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</si>
  <si>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</si>
  <si>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</si>
  <si>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</si>
  <si>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</si>
  <si>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</si>
  <si>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</si>
  <si>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</si>
  <si>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</si>
  <si>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</si>
  <si>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</si>
  <si>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</si>
  <si>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</si>
  <si>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</si>
  <si>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</si>
  <si>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</si>
  <si>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</si>
  <si>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</si>
  <si>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</si>
  <si>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</si>
  <si>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</si>
  <si>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</si>
  <si>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</si>
  <si>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</si>
  <si>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</si>
  <si>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</si>
  <si>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</si>
  <si>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</si>
  <si>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</si>
  <si>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</si>
  <si>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</si>
  <si>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Udvidelse af forsyningsområde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</si>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</sst>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lkQX+uco6VXQ/owsa3VvmCbcg75oSQJrsP7va9H8gecot219vLWYc/MrfLNjPNt8vAsLY7h2DISj0hqh9ETVuA==" saltValue="+MLLTQFjS+cI2cg+0PC5X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2" t="s">
        <v>272</v>
      </c>
      <c r="C10" s="9">
        <v>4693118.47</v>
      </c>
      <c r="D10" s="14" t="s">
        <v>3</v>
      </c>
      <c r="E10" s="1"/>
      <c r="F10" s="1"/>
    </row>
    <row r="11" spans="1:6" ht="15" customHeight="1" x14ac:dyDescent="0.25">
      <c r="A11" s="1"/>
      <c r="B11" s="82" t="s">
        <v>273</v>
      </c>
      <c r="C11" s="9">
        <v>188369</v>
      </c>
      <c r="D11" s="14" t="s">
        <v>3</v>
      </c>
      <c r="E11" s="1"/>
      <c r="F11" s="1"/>
    </row>
    <row r="12" spans="1:6" ht="26.25" x14ac:dyDescent="0.25">
      <c r="A12" s="1"/>
      <c r="B12" s="29" t="s">
        <v>274</v>
      </c>
      <c r="C12" s="9">
        <v>168629.69</v>
      </c>
      <c r="D12" s="14" t="s">
        <v>3</v>
      </c>
      <c r="E12" s="1"/>
      <c r="F12" s="1"/>
    </row>
    <row r="13" spans="1:6" x14ac:dyDescent="0.25">
      <c r="A13" s="1"/>
      <c r="B13" s="82" t="s">
        <v>275</v>
      </c>
      <c r="C13" s="9">
        <v>877120.75</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5927237.9100000001</v>
      </c>
      <c r="D20" s="13" t="s">
        <v>3</v>
      </c>
      <c r="E20" s="1"/>
      <c r="F20" s="1"/>
    </row>
    <row r="21" spans="1:6" x14ac:dyDescent="0.25">
      <c r="A21" s="1"/>
      <c r="B21" s="33" t="s">
        <v>227</v>
      </c>
      <c r="C21" s="12">
        <f>C20*(1+'Fane 15. Nøgletal'!C16)^2</f>
        <v>6923776.3587647425</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Aa5ABJj14LLWw6ug6j7pDxJrfthCB/iUQ49tcmWkNQAu8crZcF5KP9/eJwjiCeGjdEEB3bUrgihQTlI7lCEyWw==" saltValue="GtchnsBFDXGImn5BKwBJA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409E-6F02-412A-A0F8-4789AAE9AE6E}">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276</v>
      </c>
      <c r="C9" s="122"/>
      <c r="D9" s="123"/>
      <c r="E9" s="9">
        <v>-388419</v>
      </c>
      <c r="F9" s="14" t="s">
        <v>3</v>
      </c>
      <c r="G9" s="1"/>
    </row>
    <row r="10" spans="1:7" ht="15" customHeight="1" x14ac:dyDescent="0.25">
      <c r="A10" s="1"/>
      <c r="B10" s="121" t="s">
        <v>143</v>
      </c>
      <c r="C10" s="122"/>
      <c r="D10" s="123"/>
      <c r="E10" s="9">
        <v>-5887883</v>
      </c>
      <c r="F10" s="14" t="s">
        <v>3</v>
      </c>
      <c r="G10" s="1"/>
    </row>
    <row r="11" spans="1:7" ht="15" customHeight="1" x14ac:dyDescent="0.25">
      <c r="A11" s="1"/>
      <c r="B11" s="121" t="s">
        <v>277</v>
      </c>
      <c r="C11" s="122"/>
      <c r="D11" s="123"/>
      <c r="E11" s="9">
        <v>465973</v>
      </c>
      <c r="F11" s="14" t="s">
        <v>3</v>
      </c>
      <c r="G11" s="1"/>
    </row>
    <row r="12" spans="1:7" x14ac:dyDescent="0.25">
      <c r="A12" s="1"/>
      <c r="B12" s="33"/>
      <c r="C12" s="28"/>
      <c r="D12" s="28"/>
      <c r="E12" s="28"/>
      <c r="F12" s="19"/>
      <c r="G12" s="1"/>
    </row>
    <row r="13" spans="1:7" ht="42" customHeight="1" x14ac:dyDescent="0.25">
      <c r="A13" s="1"/>
      <c r="B13" s="115" t="s">
        <v>278</v>
      </c>
      <c r="C13" s="116"/>
      <c r="D13" s="116"/>
      <c r="E13" s="116"/>
      <c r="F13" s="117"/>
      <c r="G13" s="1"/>
    </row>
    <row r="14" spans="1:7" ht="15" customHeight="1" x14ac:dyDescent="0.25">
      <c r="A14" s="1"/>
      <c r="B14" s="1"/>
      <c r="C14" s="1"/>
      <c r="D14" s="1"/>
      <c r="E14" s="1"/>
      <c r="F14" s="1"/>
      <c r="G14" s="1"/>
    </row>
    <row r="15" spans="1:7" x14ac:dyDescent="0.25">
      <c r="A15" s="1"/>
      <c r="B15" s="76" t="s">
        <v>279</v>
      </c>
      <c r="C15" s="77"/>
      <c r="D15" s="77"/>
      <c r="E15" s="77"/>
      <c r="F15" s="78"/>
      <c r="G15" s="1"/>
    </row>
    <row r="16" spans="1:7" x14ac:dyDescent="0.25">
      <c r="A16" s="1"/>
      <c r="B16" s="79" t="s">
        <v>280</v>
      </c>
      <c r="C16" s="80"/>
      <c r="D16" s="81"/>
      <c r="E16" s="9">
        <f>IF(E11&lt;0,E11,0)</f>
        <v>0</v>
      </c>
      <c r="F16" s="14" t="s">
        <v>3</v>
      </c>
      <c r="G16" s="1"/>
    </row>
    <row r="17" spans="1:7" x14ac:dyDescent="0.25">
      <c r="A17" s="1"/>
      <c r="B17" s="79" t="s">
        <v>281</v>
      </c>
      <c r="C17" s="80"/>
      <c r="D17" s="81"/>
      <c r="E17" s="9">
        <f>IF(SUM(E10)&gt;0,SUM(E10),0)</f>
        <v>0</v>
      </c>
      <c r="F17" s="14" t="s">
        <v>3</v>
      </c>
      <c r="G17" s="1"/>
    </row>
    <row r="18" spans="1:7" x14ac:dyDescent="0.25">
      <c r="A18" s="1"/>
      <c r="B18" s="83" t="s">
        <v>282</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283</v>
      </c>
      <c r="C21" s="77"/>
      <c r="D21" s="77"/>
      <c r="E21" s="77"/>
      <c r="F21" s="78"/>
      <c r="G21" s="1"/>
    </row>
    <row r="22" spans="1:7" x14ac:dyDescent="0.25">
      <c r="A22" s="1"/>
      <c r="B22" s="79" t="s">
        <v>284</v>
      </c>
      <c r="C22" s="80"/>
      <c r="D22" s="81"/>
      <c r="E22" s="9">
        <v>56260218</v>
      </c>
      <c r="F22" s="14" t="s">
        <v>3</v>
      </c>
      <c r="G22" s="1"/>
    </row>
    <row r="23" spans="1:7" x14ac:dyDescent="0.25">
      <c r="A23" s="1"/>
      <c r="B23" s="79" t="s">
        <v>285</v>
      </c>
      <c r="C23" s="80"/>
      <c r="D23" s="81"/>
      <c r="E23" s="9">
        <v>56104047.710000001</v>
      </c>
      <c r="F23" s="14" t="s">
        <v>3</v>
      </c>
      <c r="G23" s="1"/>
    </row>
    <row r="24" spans="1:7" x14ac:dyDescent="0.25">
      <c r="A24" s="1"/>
      <c r="B24" s="79" t="s">
        <v>30</v>
      </c>
      <c r="C24" s="80"/>
      <c r="D24" s="81"/>
      <c r="E24" s="9">
        <v>-15000</v>
      </c>
      <c r="F24" s="14" t="s">
        <v>3</v>
      </c>
      <c r="G24" s="1"/>
    </row>
    <row r="25" spans="1:7" x14ac:dyDescent="0.25">
      <c r="A25" s="1"/>
      <c r="B25" s="83" t="s">
        <v>286</v>
      </c>
      <c r="C25" s="84"/>
      <c r="D25" s="85"/>
      <c r="E25" s="62">
        <f>E22-E23-E24</f>
        <v>171170.28999999911</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287</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lvuJx4JZRs4MvzS5MNjpZWATs72fX6694XPAyhwYupcFn2xsDqMgGpZrWdGslWtW9lnnHyEa8AYNmpVrsSNoqA==" saltValue="X3d4Lc0sfry13HqL9hKk7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wa1tdDUrCaLrIGHFmY8lfTFxc/wDKH+T315yo0Zaqii8Y5GmHI9mR6zaF2MgOORiScU6B87L61aJSMeeXkfAw==" saltValue="+RiTDwoXxYP/bR0LwtZE2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EfD4p7IcX2kFCMe8unFNj1FsNydFIwolMjusz1qA0drvxQ2i0mLWpu95W/Or/8nk8kFIcnKfoEAK8r8s7HWA==" saltValue="1pKhhSS2s+49ZCkIK673u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LdV35U3MmVqJBYECJ420Y2ApHzz9o3jvOF6luP8349M2EBU/n2yD4ox+dGI64XDAl9jHRI7ePVVluMp+vemikw==" saltValue="Ve4a4WRFNfzixYTySaFZ6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223783</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223783</v>
      </c>
      <c r="D19" s="13" t="s">
        <v>3</v>
      </c>
      <c r="E19" s="12">
        <f>SUM(E10:E18)</f>
        <v>0</v>
      </c>
      <c r="F19" s="13" t="s">
        <v>3</v>
      </c>
      <c r="G19" s="1"/>
    </row>
    <row r="20" spans="1:7" x14ac:dyDescent="0.25">
      <c r="A20" s="1"/>
      <c r="B20" s="33" t="s">
        <v>233</v>
      </c>
      <c r="C20" s="12">
        <f>C19*(1+'Fane 15. Nøgletal'!C16)</f>
        <v>241864.66639999999</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nfy1lcj486QkaLGQbFnRCN2ei1JAmP/f/vH6CXao32q3Q7DohK86XmDeBWnCuMtbZqvaK3Vw/Zk+rki6O1dvw==" saltValue="4Lv8pa+ajhjlgxGlBKdRK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ofZKofvYAhFTAt8G9Xa/YqguZ1Y/hREgm/X846EJF2v+EBR9vLBv42LqEPhn637EiEKYS6IleYDkJfrM7/N5g==" saltValue="ZGGgkxYMajs8pjeM7sQ8U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8" t="s">
        <v>111</v>
      </c>
      <c r="C13" s="119"/>
      <c r="D13" s="120"/>
      <c r="E13" s="12">
        <f>SUM(E10:E12)*(1+'Fane 15. Nøgletal'!C16)^2</f>
        <v>0</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8" t="s">
        <v>125</v>
      </c>
      <c r="C19" s="119"/>
      <c r="D19" s="120"/>
      <c r="E19" s="12">
        <f>SUM(E16:E18)*(1+'Fane 15. Nøgletal'!C16)^3</f>
        <v>0</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8" t="s">
        <v>146</v>
      </c>
      <c r="C25" s="119"/>
      <c r="D25" s="120"/>
      <c r="E25" s="12">
        <f>SUM(E22:E24)*(1+'Fane 15. Nøgletal'!C16)^4</f>
        <v>0</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8" t="s">
        <v>238</v>
      </c>
      <c r="C31" s="119"/>
      <c r="D31" s="120"/>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hSymn+dFTJRcRyH9RGBPTxSuCbs8tWHz7SYPautYS30AYnSARCwhWhXGy190x5FgUQghEO9M4d/VBIPj0N4Bw==" saltValue="Sk6UavPgZ07HNFnIRgO44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YJzRlL8+JN2WKDEwsjt+fASCwhF9ezP5vOrVd2XvAlSxmlOkqxK2I/UHaTTN9aE49JagI08zTGzRNuaOF2MAMQ==" saltValue="pzyqb87BYij3P9UdsKv49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kzEs7bqpoqEmgXtBIaQTPxeQhoJ8PxazUTD9lcnx3eCMP8bC++FO0ohcrMNzgkvu1R2lvjpirNQCi5mgi84oQ==" saltValue="7+b6SlMvBDnQymxYRLIjJ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52740454.721829355</v>
      </c>
      <c r="D9" s="8" t="s">
        <v>3</v>
      </c>
      <c r="E9" s="1"/>
    </row>
    <row r="10" spans="1:5" ht="17.25" customHeight="1" x14ac:dyDescent="0.25">
      <c r="A10" s="1"/>
      <c r="B10" s="89" t="s">
        <v>36</v>
      </c>
      <c r="C10" s="7">
        <f>'Fane 11.1. Varige tillæg'!C20</f>
        <v>241864.66639999999</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4280971.4065689314</v>
      </c>
      <c r="D16" s="8" t="s">
        <v>3</v>
      </c>
      <c r="E16" s="1"/>
    </row>
    <row r="17" spans="1:5" ht="17.25" customHeight="1" x14ac:dyDescent="0.25">
      <c r="A17" s="1"/>
      <c r="B17" s="89" t="s">
        <v>10</v>
      </c>
      <c r="C17" s="41">
        <f>-SUM(C9,C10:C16)*'Fane 5. Individuelt eff. krav'!G9</f>
        <v>-908833.53497361403</v>
      </c>
      <c r="D17" s="8" t="s">
        <v>3</v>
      </c>
      <c r="E17" s="1"/>
    </row>
    <row r="18" spans="1:5" ht="17.25" customHeight="1" x14ac:dyDescent="0.25">
      <c r="A18" s="1"/>
      <c r="B18" s="89" t="s">
        <v>23</v>
      </c>
      <c r="C18" s="41">
        <f>-'Fane 4.1. Gen. krav - drift'!G54</f>
        <v>-615804.06165462954</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55738653.198170044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6923776.3587647425</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73">
        <f>'Fane 11.2. Engangstillæg'!C14</f>
        <v>0</v>
      </c>
      <c r="D26" s="8" t="s">
        <v>3</v>
      </c>
      <c r="E26" s="1"/>
    </row>
    <row r="27" spans="1:5" ht="15" customHeight="1" x14ac:dyDescent="0.25">
      <c r="A27" s="1"/>
      <c r="B27" s="89" t="s">
        <v>70</v>
      </c>
      <c r="C27" s="73">
        <f>'Fane 11.2. Engangstillæg'!E14</f>
        <v>0</v>
      </c>
      <c r="D27" s="8" t="s">
        <v>3</v>
      </c>
      <c r="E27" s="1"/>
    </row>
    <row r="28" spans="1:5" ht="15" customHeight="1" x14ac:dyDescent="0.25">
      <c r="A28" s="1"/>
      <c r="B28" s="89" t="s">
        <v>161</v>
      </c>
      <c r="C28" s="73">
        <f>-C26*('Fane 15. Nøgletal'!C33+'Fane 5. Individuelt eff. krav'!G9)</f>
        <v>0</v>
      </c>
      <c r="D28" s="8" t="s">
        <v>3</v>
      </c>
      <c r="E28" s="1"/>
    </row>
    <row r="29" spans="1:5" ht="15" customHeight="1" x14ac:dyDescent="0.25">
      <c r="A29" s="1"/>
      <c r="B29" s="89" t="s">
        <v>162</v>
      </c>
      <c r="C29" s="73">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290</v>
      </c>
      <c r="C37" s="28"/>
      <c r="D37" s="19"/>
      <c r="E37" s="1"/>
    </row>
    <row r="38" spans="1:5" x14ac:dyDescent="0.25">
      <c r="A38" s="1"/>
      <c r="B38" s="70" t="s">
        <v>291</v>
      </c>
      <c r="C38" s="10">
        <v>1165444.3580846167</v>
      </c>
      <c r="D38" s="11" t="s">
        <v>3</v>
      </c>
      <c r="E38" s="1"/>
    </row>
    <row r="39" spans="1:5" x14ac:dyDescent="0.25">
      <c r="A39" s="1"/>
      <c r="B39" s="33" t="s">
        <v>108</v>
      </c>
      <c r="C39" s="49">
        <f>SUM(C34,C32,C24,C30,C22,C20,C36,C38)</f>
        <v>63827873.915019408</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qu7NcW/JVA5y78ZlmmrdAIsXAByjBP8hOf6eFMRRoXjjCq5uJZkbUKg8NYZa+NuqA1T/AEHdf2+DAleMIJxA==" saltValue="VFh6/AOPfRUWJdu0PZeoD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GUbO+4tT0AwM8LEI5+HlFhldHexW8Tgq/LZpDgoxODrrQa3Yp7USxbVlda3UDhjQXETjPGNLEYie7tEVivftA==" saltValue="aTp2VbVIidNfT1ubDABJ/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55738653.198170044</v>
      </c>
      <c r="D9" s="8" t="s">
        <v>3</v>
      </c>
      <c r="E9" s="1"/>
    </row>
    <row r="10" spans="1:5" ht="15" customHeight="1" x14ac:dyDescent="0.25">
      <c r="A10" s="1"/>
      <c r="B10" s="26" t="s">
        <v>19</v>
      </c>
      <c r="C10" s="7">
        <f>SUM(C9:C9)*'Fane 15. Nøgletal'!C16</f>
        <v>4503683.1784121394</v>
      </c>
      <c r="D10" s="8" t="s">
        <v>3</v>
      </c>
      <c r="E10" s="1"/>
    </row>
    <row r="11" spans="1:5" ht="15" customHeight="1" x14ac:dyDescent="0.25">
      <c r="A11" s="1"/>
      <c r="B11" s="26" t="s">
        <v>10</v>
      </c>
      <c r="C11" s="9">
        <f>-SUM(C9:C10)*'Fane 5. Individuelt eff. krav'!G9</f>
        <v>-956114.37561971473</v>
      </c>
      <c r="D11" s="8" t="s">
        <v>3</v>
      </c>
      <c r="E11" s="1"/>
    </row>
    <row r="12" spans="1:5" ht="15" customHeight="1" x14ac:dyDescent="0.25">
      <c r="A12" s="1"/>
      <c r="B12" s="26" t="s">
        <v>23</v>
      </c>
      <c r="C12" s="9">
        <f>-'Fane 4.1. Gen. krav - drift'!G59</f>
        <v>-652249.80923959706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58633972.19172287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7483217.4885529336</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66117189.680275805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5tjArG7bjo+C0tZABNHd6EzzL7sybMRIUJK4A3sEXE73psMt68V5a7rIdO4BJqIcE4dNpTAoLFSj7ivpC1mCg==" saltValue="Ae2v6tEe45UzMTVn5lLqG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58633972.19172287</v>
      </c>
      <c r="D9" s="8" t="s">
        <v>3</v>
      </c>
      <c r="E9" s="1"/>
    </row>
    <row r="10" spans="1:5" ht="15" customHeight="1" x14ac:dyDescent="0.25">
      <c r="A10" s="1"/>
      <c r="B10" s="26" t="s">
        <v>19</v>
      </c>
      <c r="C10" s="7">
        <f>SUM(C9:C9)*'Fane 15. Nøgletal'!C16</f>
        <v>4737624.9530912079</v>
      </c>
      <c r="D10" s="8" t="s">
        <v>3</v>
      </c>
      <c r="E10" s="1"/>
    </row>
    <row r="11" spans="1:5" ht="15" customHeight="1" x14ac:dyDescent="0.25">
      <c r="A11" s="1"/>
      <c r="B11" s="26" t="s">
        <v>10</v>
      </c>
      <c r="C11" s="9">
        <f>-SUM(C9:C10)*'Fane 5. Individuelt eff. krav'!G9</f>
        <v>-1005779.3020738679</v>
      </c>
      <c r="D11" s="8" t="s">
        <v>3</v>
      </c>
      <c r="E11" s="1"/>
    </row>
    <row r="12" spans="1:5" ht="15" customHeight="1" x14ac:dyDescent="0.25">
      <c r="A12" s="1"/>
      <c r="B12" s="26" t="s">
        <v>23</v>
      </c>
      <c r="C12" s="9">
        <f>-'Fane 4.1. Gen. krav - drift'!G64</f>
        <v>-690852.56194963341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61674965.280790575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8087861.4616280105</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69762826.742418587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wbtUfK9zerRsX5v2jY3rf76h9lV7taH3x5XaUuOHBRAAleVpELSymYiHPvgeacr9lovmlt5FfiGtlgANAgrw==" saltValue="fVnYAQ4Tt0kGAIohLlSzF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61674965.280790575</v>
      </c>
      <c r="D9" s="8" t="s">
        <v>3</v>
      </c>
      <c r="E9" s="1"/>
      <c r="F9" s="1"/>
    </row>
    <row r="10" spans="1:6" ht="15" customHeight="1" x14ac:dyDescent="0.25">
      <c r="A10" s="1"/>
      <c r="B10" s="26" t="s">
        <v>19</v>
      </c>
      <c r="C10" s="7">
        <f>SUM(C9:C9)*'Fane 15. Nøgletal'!C16</f>
        <v>4983337.1946878787</v>
      </c>
      <c r="D10" s="8" t="s">
        <v>3</v>
      </c>
      <c r="E10" s="1"/>
      <c r="F10" s="1"/>
    </row>
    <row r="11" spans="1:6" ht="15" customHeight="1" x14ac:dyDescent="0.25">
      <c r="A11" s="1"/>
      <c r="B11" s="26" t="s">
        <v>10</v>
      </c>
      <c r="C11" s="9">
        <f>-SUM(C9:C10)*'Fane 5. Individuelt eff. krav'!G9</f>
        <v>-1057943.0527529621</v>
      </c>
      <c r="D11" s="8" t="s">
        <v>3</v>
      </c>
      <c r="E11" s="1"/>
      <c r="F11" s="1"/>
    </row>
    <row r="12" spans="1:6" ht="15" customHeight="1" x14ac:dyDescent="0.25">
      <c r="A12" s="1"/>
      <c r="B12" s="26" t="s">
        <v>23</v>
      </c>
      <c r="C12" s="9">
        <f>-'Fane 4.1. Gen. krav - drift'!G69</f>
        <v>-731739.97997606045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64868619.442749433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8741360.6677275542</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73609980.110476986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e+Vyd2vbN969PZHc1MU1bRTWECSGhxj4y0+nEVivJ7Jny90XrWCvgRnJy96uzD5XP6Y9DyNogv5gPVzWlU3X8Q==" saltValue="v+yF6HOtfaS65AfteCBez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54508034.79940439</v>
      </c>
      <c r="D9" s="8" t="s">
        <v>3</v>
      </c>
      <c r="E9" s="1"/>
    </row>
    <row r="10" spans="1:5" x14ac:dyDescent="0.25">
      <c r="A10" s="1"/>
      <c r="B10" s="89" t="s">
        <v>36</v>
      </c>
      <c r="C10" s="7">
        <v>140361.0816</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184873.3693429945</v>
      </c>
      <c r="D16" s="8" t="s">
        <v>3</v>
      </c>
      <c r="E16" s="1"/>
    </row>
    <row r="17" spans="1:5" x14ac:dyDescent="0.25">
      <c r="A17" s="1"/>
      <c r="B17" s="89" t="s">
        <v>10</v>
      </c>
      <c r="C17" s="41">
        <v>-1096665.3850069479</v>
      </c>
      <c r="D17" s="8" t="s">
        <v>3</v>
      </c>
      <c r="E17" s="1"/>
    </row>
    <row r="18" spans="1:5" x14ac:dyDescent="0.25">
      <c r="A18" s="1"/>
      <c r="B18" s="89" t="s">
        <v>23</v>
      </c>
      <c r="C18" s="41">
        <v>-576458.77866898198</v>
      </c>
      <c r="D18" s="8" t="s">
        <v>3</v>
      </c>
      <c r="E18" s="1"/>
    </row>
    <row r="19" spans="1:5" x14ac:dyDescent="0.25">
      <c r="A19" s="1"/>
      <c r="B19" s="89" t="s">
        <v>24</v>
      </c>
      <c r="C19" s="41">
        <v>-419690.36484210449</v>
      </c>
      <c r="D19" s="8" t="s">
        <v>3</v>
      </c>
      <c r="E19" s="47"/>
    </row>
    <row r="20" spans="1:5" x14ac:dyDescent="0.25">
      <c r="A20" s="1"/>
      <c r="B20" s="83" t="s">
        <v>21</v>
      </c>
      <c r="C20" s="10">
        <v>52740454.721829355</v>
      </c>
      <c r="D20" s="11" t="s">
        <v>3</v>
      </c>
      <c r="E20" s="1"/>
    </row>
    <row r="21" spans="1:5" x14ac:dyDescent="0.25">
      <c r="A21" s="1"/>
      <c r="B21" s="33" t="s">
        <v>12</v>
      </c>
      <c r="C21" s="28"/>
      <c r="D21" s="19"/>
      <c r="E21" s="1"/>
    </row>
    <row r="22" spans="1:5" x14ac:dyDescent="0.25">
      <c r="A22" s="1"/>
      <c r="B22" s="31" t="s">
        <v>12</v>
      </c>
      <c r="C22" s="10">
        <v>9090941.1718176007</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-2015638.066675216</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59815757.82697174</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8OBhB4FdIY2M2sycQl0caKg0AIdUe5uED9U89wEGHKnGt0Goc0Xyzi/mKl4u9G1E80mEoBvcl9FmokdpmErRQ==" saltValue="anDEWXHyBJbLXtA2aH/Rw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8" t="s">
        <v>46</v>
      </c>
      <c r="C4" s="119"/>
      <c r="D4" s="119"/>
      <c r="E4" s="119"/>
      <c r="F4" s="119"/>
      <c r="G4" s="119"/>
      <c r="H4" s="120"/>
      <c r="I4" s="1"/>
    </row>
    <row r="5" spans="1:9" x14ac:dyDescent="0.25">
      <c r="A5" s="1"/>
      <c r="B5" s="121" t="s">
        <v>38</v>
      </c>
      <c r="C5" s="122"/>
      <c r="D5" s="122"/>
      <c r="E5" s="122"/>
      <c r="F5" s="123"/>
      <c r="G5" s="63">
        <v>28686602.633601896</v>
      </c>
      <c r="H5" s="14" t="s">
        <v>3</v>
      </c>
      <c r="I5" s="1"/>
    </row>
    <row r="6" spans="1:9" x14ac:dyDescent="0.25">
      <c r="A6" s="1"/>
      <c r="B6" s="115" t="s">
        <v>102</v>
      </c>
      <c r="C6" s="116"/>
      <c r="D6" s="116"/>
      <c r="E6" s="116"/>
      <c r="F6" s="117"/>
      <c r="G6" s="66">
        <v>0</v>
      </c>
      <c r="H6" s="14" t="s">
        <v>3</v>
      </c>
      <c r="I6" s="1"/>
    </row>
    <row r="7" spans="1:9" x14ac:dyDescent="0.25">
      <c r="A7" s="1"/>
      <c r="B7" s="121" t="s">
        <v>39</v>
      </c>
      <c r="C7" s="122"/>
      <c r="D7" s="122"/>
      <c r="E7" s="122"/>
      <c r="F7" s="123"/>
      <c r="G7" s="23">
        <f>SUM(G5:G6)*'Fane 15. Nøgletal'!C33</f>
        <v>573732.05267203797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28604845.816096131</v>
      </c>
      <c r="H11" s="14" t="s">
        <v>3</v>
      </c>
      <c r="I11" s="1"/>
    </row>
    <row r="12" spans="1:9" ht="15" customHeight="1" x14ac:dyDescent="0.25">
      <c r="A12" s="1"/>
      <c r="B12" s="121" t="s">
        <v>103</v>
      </c>
      <c r="C12" s="122"/>
      <c r="D12" s="122"/>
      <c r="E12" s="122"/>
      <c r="F12" s="123"/>
      <c r="G12" s="66">
        <v>705327.62859925744</v>
      </c>
      <c r="H12" s="14" t="s">
        <v>3</v>
      </c>
      <c r="I12" s="1"/>
    </row>
    <row r="13" spans="1:9" x14ac:dyDescent="0.25">
      <c r="A13" s="1"/>
      <c r="B13" s="115" t="s">
        <v>100</v>
      </c>
      <c r="C13" s="116"/>
      <c r="D13" s="116"/>
      <c r="E13" s="116"/>
      <c r="F13" s="117"/>
      <c r="G13" s="66">
        <v>0</v>
      </c>
      <c r="H13" s="14" t="s">
        <v>3</v>
      </c>
      <c r="I13" s="1"/>
    </row>
    <row r="14" spans="1:9" x14ac:dyDescent="0.25">
      <c r="A14" s="1"/>
      <c r="B14" s="124" t="s">
        <v>244</v>
      </c>
      <c r="C14" s="125"/>
      <c r="D14" s="125"/>
      <c r="E14" s="125"/>
      <c r="F14" s="126"/>
      <c r="G14" s="66">
        <v>343892.50053125003</v>
      </c>
      <c r="H14" s="14" t="s">
        <v>3</v>
      </c>
      <c r="I14" s="1"/>
    </row>
    <row r="15" spans="1:9" x14ac:dyDescent="0.25">
      <c r="A15" s="1"/>
      <c r="B15" s="121" t="s">
        <v>41</v>
      </c>
      <c r="C15" s="122"/>
      <c r="D15" s="122"/>
      <c r="E15" s="122"/>
      <c r="F15" s="123"/>
      <c r="G15" s="23">
        <f>SUM(G11:G14)*'Fane 15. Nøgletal'!C33</f>
        <v>593081.3189045327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29569551.857282739</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591391.03714565479</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29549030.588293787</v>
      </c>
      <c r="H25" s="14" t="s">
        <v>3</v>
      </c>
      <c r="I25" s="1"/>
    </row>
    <row r="26" spans="1:9" x14ac:dyDescent="0.25">
      <c r="A26" s="1"/>
      <c r="B26" s="124" t="s">
        <v>246</v>
      </c>
      <c r="C26" s="125"/>
      <c r="D26" s="125"/>
      <c r="E26" s="125"/>
      <c r="F26" s="126"/>
      <c r="G26" s="66">
        <v>0</v>
      </c>
      <c r="H26" s="14" t="s">
        <v>3</v>
      </c>
      <c r="I26" s="1"/>
    </row>
    <row r="27" spans="1:9" x14ac:dyDescent="0.25">
      <c r="A27" s="1"/>
      <c r="B27" s="121" t="s">
        <v>45</v>
      </c>
      <c r="C27" s="122"/>
      <c r="D27" s="122"/>
      <c r="E27" s="122"/>
      <c r="F27" s="123"/>
      <c r="G27" s="23">
        <f>(G25+G26)*'Fane 15. Nøgletal'!C33</f>
        <v>590980.61176587571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29528523.561065514</v>
      </c>
      <c r="H31" s="14" t="s">
        <v>3</v>
      </c>
      <c r="I31" s="1"/>
    </row>
    <row r="32" spans="1:9" x14ac:dyDescent="0.25">
      <c r="A32" s="1"/>
      <c r="B32" s="121" t="s">
        <v>243</v>
      </c>
      <c r="C32" s="122"/>
      <c r="D32" s="122"/>
      <c r="E32" s="122"/>
      <c r="F32" s="123"/>
      <c r="G32" s="63">
        <v>66848.738163479997</v>
      </c>
      <c r="H32" s="14" t="s">
        <v>3</v>
      </c>
      <c r="I32" s="1"/>
    </row>
    <row r="33" spans="1:9" x14ac:dyDescent="0.25">
      <c r="A33" s="1"/>
      <c r="B33" s="121" t="s">
        <v>54</v>
      </c>
      <c r="C33" s="122"/>
      <c r="D33" s="122"/>
      <c r="E33" s="122"/>
      <c r="F33" s="123"/>
      <c r="G33" s="23">
        <f>(G31+G32)*'Fane 15. Nøgletal'!C33</f>
        <v>591907.44598457986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29099176.287260123</v>
      </c>
      <c r="H37" s="14" t="s">
        <v>3</v>
      </c>
      <c r="I37" s="1"/>
    </row>
    <row r="38" spans="1:9" x14ac:dyDescent="0.25">
      <c r="A38" s="1"/>
      <c r="B38" s="121" t="s">
        <v>242</v>
      </c>
      <c r="C38" s="122"/>
      <c r="D38" s="122"/>
      <c r="E38" s="122"/>
      <c r="F38" s="123"/>
      <c r="G38" s="63">
        <v>67411.724692410018</v>
      </c>
      <c r="H38" s="14" t="s">
        <v>3</v>
      </c>
      <c r="I38" s="1"/>
    </row>
    <row r="39" spans="1:9" x14ac:dyDescent="0.25">
      <c r="A39" s="1"/>
      <c r="B39" s="121" t="s">
        <v>128</v>
      </c>
      <c r="C39" s="122"/>
      <c r="D39" s="122"/>
      <c r="E39" s="122"/>
      <c r="F39" s="123"/>
      <c r="G39" s="23">
        <f>(G37+G38)*'Fane 15. Nøgletal'!C33</f>
        <v>583331.76023905072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28677580.99734414</v>
      </c>
      <c r="H43" s="14" t="s">
        <v>3</v>
      </c>
      <c r="I43" s="1"/>
    </row>
    <row r="44" spans="1:9" x14ac:dyDescent="0.25">
      <c r="A44" s="1"/>
      <c r="B44" s="127" t="s">
        <v>157</v>
      </c>
      <c r="C44" s="128"/>
      <c r="D44" s="128"/>
      <c r="E44" s="128"/>
      <c r="F44" s="129"/>
      <c r="G44" s="45">
        <v>145357.93610496001</v>
      </c>
      <c r="H44" s="14" t="s">
        <v>3</v>
      </c>
      <c r="I44" s="1"/>
    </row>
    <row r="45" spans="1:9" x14ac:dyDescent="0.25">
      <c r="A45" s="1"/>
      <c r="B45" s="121" t="s">
        <v>129</v>
      </c>
      <c r="C45" s="122"/>
      <c r="D45" s="122"/>
      <c r="E45" s="122"/>
      <c r="F45" s="123"/>
      <c r="G45" s="23">
        <f>SUM(G43:G44)*'Fane 15. Nøgletal'!C33</f>
        <v>576458.77866898198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30528795.751286354</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261407.33144511998</v>
      </c>
      <c r="H53" s="14" t="s">
        <v>3</v>
      </c>
      <c r="I53" s="1"/>
    </row>
    <row r="54" spans="1:9" x14ac:dyDescent="0.25">
      <c r="A54" s="1"/>
      <c r="B54" s="121" t="s">
        <v>210</v>
      </c>
      <c r="C54" s="122"/>
      <c r="D54" s="122"/>
      <c r="E54" s="122"/>
      <c r="F54" s="123"/>
      <c r="G54" s="23">
        <f>(G52)*'Fane 15. Nøgletal'!C33+(G53)*'Fane 15. Nøgletal'!C33</f>
        <v>615804.06165462954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9" t="s">
        <v>212</v>
      </c>
      <c r="C58" s="80"/>
      <c r="D58" s="80"/>
      <c r="E58" s="80"/>
      <c r="F58" s="81"/>
      <c r="G58" s="23">
        <f>(G52+G53-G54)*(1+'Fane 15. Nøgletal'!C16)</f>
        <v>32612490.461979851</v>
      </c>
      <c r="H58" s="14" t="s">
        <v>3</v>
      </c>
      <c r="I58" s="1"/>
    </row>
    <row r="59" spans="1:9" x14ac:dyDescent="0.25">
      <c r="A59" s="1"/>
      <c r="B59" s="79" t="s">
        <v>211</v>
      </c>
      <c r="C59" s="80"/>
      <c r="D59" s="80"/>
      <c r="E59" s="80"/>
      <c r="F59" s="81"/>
      <c r="G59" s="23">
        <f>(G58)*'Fane 15. Nøgletal'!C33</f>
        <v>652249.80923959706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9" t="s">
        <v>213</v>
      </c>
      <c r="C63" s="80"/>
      <c r="D63" s="80"/>
      <c r="E63" s="80"/>
      <c r="F63" s="81"/>
      <c r="G63" s="23">
        <f>(G58-G59)*(1+'Fane 15. Nøgletal'!C16)</f>
        <v>34542628.097481668</v>
      </c>
      <c r="H63" s="14" t="s">
        <v>3</v>
      </c>
      <c r="I63" s="1"/>
    </row>
    <row r="64" spans="1:9" x14ac:dyDescent="0.25">
      <c r="A64" s="1"/>
      <c r="B64" s="79" t="s">
        <v>214</v>
      </c>
      <c r="C64" s="80"/>
      <c r="D64" s="80"/>
      <c r="E64" s="80"/>
      <c r="F64" s="81"/>
      <c r="G64" s="23">
        <f>(G63)*'Fane 15. Nøgletal'!C33</f>
        <v>690852.56194963341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9" t="s">
        <v>213</v>
      </c>
      <c r="C68" s="80"/>
      <c r="D68" s="80"/>
      <c r="E68" s="80"/>
      <c r="F68" s="81"/>
      <c r="G68" s="23">
        <f>(G63-G64)*(1+'Fane 15. Nøgletal'!C16)</f>
        <v>36586998.99880302</v>
      </c>
      <c r="H68" s="14" t="s">
        <v>3</v>
      </c>
      <c r="I68" s="1"/>
    </row>
    <row r="69" spans="1:9" x14ac:dyDescent="0.25">
      <c r="A69" s="1"/>
      <c r="B69" s="79" t="s">
        <v>214</v>
      </c>
      <c r="C69" s="80"/>
      <c r="D69" s="80"/>
      <c r="E69" s="80"/>
      <c r="F69" s="81"/>
      <c r="G69" s="23">
        <f>(G68)*'Fane 15. Nøgletal'!C33</f>
        <v>731739.97997606045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SRTBV7zT343QrQ66WGxa78eLBkwHWUBkWvsWZDAAbscadt2z+Mp08vjOUrJ1N/qdLOmPKVknFkJY9fMiyEfmaQ==" saltValue="92ulEtdDt6IHSCVzoCi24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26599895.532645136</v>
      </c>
      <c r="H5" s="14" t="s">
        <v>3</v>
      </c>
      <c r="I5" s="1"/>
    </row>
    <row r="6" spans="1:9" x14ac:dyDescent="0.25">
      <c r="A6" s="1"/>
      <c r="B6" s="121" t="s">
        <v>51</v>
      </c>
      <c r="C6" s="122"/>
      <c r="D6" s="122"/>
      <c r="E6" s="122"/>
      <c r="F6" s="123"/>
      <c r="G6" s="23">
        <f>G5*'Fane 15. Nøgletal'!C21</f>
        <v>242059.04934707074</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26819098.621755786</v>
      </c>
      <c r="H10" s="14" t="s">
        <v>3</v>
      </c>
      <c r="I10" s="1"/>
    </row>
    <row r="11" spans="1:9" x14ac:dyDescent="0.25">
      <c r="A11" s="1"/>
      <c r="B11" s="121" t="s">
        <v>104</v>
      </c>
      <c r="C11" s="122"/>
      <c r="D11" s="122"/>
      <c r="E11" s="122"/>
      <c r="F11" s="123"/>
      <c r="G11" s="63">
        <v>580516.65650264849</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484973.19042517431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27385648.324370347</v>
      </c>
      <c r="H17" s="14" t="s">
        <v>3</v>
      </c>
      <c r="I17" s="1"/>
    </row>
    <row r="18" spans="1:9" x14ac:dyDescent="0.25">
      <c r="A18" s="1"/>
      <c r="B18" s="124" t="s">
        <v>248</v>
      </c>
      <c r="C18" s="125"/>
      <c r="D18" s="125"/>
      <c r="E18" s="125"/>
      <c r="F18" s="126"/>
      <c r="G18" s="63">
        <v>0</v>
      </c>
      <c r="H18" s="14" t="s">
        <v>3</v>
      </c>
      <c r="I18" s="1"/>
    </row>
    <row r="19" spans="1:9" x14ac:dyDescent="0.25">
      <c r="A19" s="1"/>
      <c r="B19" s="121" t="s">
        <v>61</v>
      </c>
      <c r="C19" s="122"/>
      <c r="D19" s="122"/>
      <c r="E19" s="122"/>
      <c r="F19" s="123"/>
      <c r="G19" s="23">
        <f>G17*'Fane 15. Nøgletal'!C22+G18*'Fane 15. Nøgletal'!C23</f>
        <v>484725.97534135514</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27430870.519304864</v>
      </c>
      <c r="H23" s="14" t="s">
        <v>3</v>
      </c>
      <c r="I23" s="1"/>
    </row>
    <row r="24" spans="1:9" x14ac:dyDescent="0.25">
      <c r="A24" s="1"/>
      <c r="B24" s="124" t="s">
        <v>249</v>
      </c>
      <c r="C24" s="125"/>
      <c r="D24" s="125"/>
      <c r="E24" s="125"/>
      <c r="F24" s="126"/>
      <c r="G24" s="63">
        <v>2243346.137389021</v>
      </c>
      <c r="H24" s="14" t="s">
        <v>3</v>
      </c>
      <c r="I24" s="1"/>
    </row>
    <row r="25" spans="1:9" x14ac:dyDescent="0.25">
      <c r="A25" s="1"/>
      <c r="B25" s="121" t="s">
        <v>64</v>
      </c>
      <c r="C25" s="122"/>
      <c r="D25" s="122"/>
      <c r="E25" s="122"/>
      <c r="F25" s="123"/>
      <c r="G25" s="23">
        <f>(G23+G24)*'Fane 15. Nøgletal'!C24</f>
        <v>842747.75305010634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29399448.841045558</v>
      </c>
      <c r="H29" s="14" t="s">
        <v>3</v>
      </c>
      <c r="I29" s="1"/>
    </row>
    <row r="30" spans="1:9" x14ac:dyDescent="0.25">
      <c r="A30" s="1"/>
      <c r="B30" s="121" t="s">
        <v>250</v>
      </c>
      <c r="C30" s="122"/>
      <c r="D30" s="122"/>
      <c r="E30" s="122"/>
      <c r="F30" s="123"/>
      <c r="G30" s="63">
        <v>30759.005274480001</v>
      </c>
      <c r="H30" s="14" t="s">
        <v>3</v>
      </c>
      <c r="I30" s="1"/>
    </row>
    <row r="31" spans="1:9" x14ac:dyDescent="0.25">
      <c r="A31" s="1"/>
      <c r="B31" s="121" t="s">
        <v>67</v>
      </c>
      <c r="C31" s="122"/>
      <c r="D31" s="122"/>
      <c r="E31" s="122"/>
      <c r="F31" s="123"/>
      <c r="G31" s="23">
        <f>G29*'Fane 15. Nøgletal'!C24+G30*'Fane 15. Nøgletal'!C25</f>
        <v>835790.21973074204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28688779.204757042</v>
      </c>
      <c r="H35" s="14" t="s">
        <v>3</v>
      </c>
      <c r="I35" s="1"/>
    </row>
    <row r="36" spans="1:9" x14ac:dyDescent="0.25">
      <c r="A36" s="1"/>
      <c r="B36" s="121" t="s">
        <v>251</v>
      </c>
      <c r="C36" s="122"/>
      <c r="D36" s="122"/>
      <c r="E36" s="122"/>
      <c r="F36" s="123"/>
      <c r="G36" s="63">
        <v>0</v>
      </c>
      <c r="H36" s="14" t="s">
        <v>3</v>
      </c>
      <c r="I36" s="1"/>
    </row>
    <row r="37" spans="1:9" x14ac:dyDescent="0.25">
      <c r="A37" s="1"/>
      <c r="B37" s="121" t="s">
        <v>131</v>
      </c>
      <c r="C37" s="122"/>
      <c r="D37" s="122"/>
      <c r="E37" s="122"/>
      <c r="F37" s="123"/>
      <c r="G37" s="23">
        <f>(G35+G36)*'Fane 15. Nøgletal'!C26</f>
        <v>424593.93223040423</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28357457.083925977</v>
      </c>
      <c r="H41" s="14" t="s">
        <v>3</v>
      </c>
      <c r="I41" s="1"/>
    </row>
    <row r="42" spans="1:9" x14ac:dyDescent="0.25">
      <c r="A42" s="1"/>
      <c r="B42" s="40" t="s">
        <v>156</v>
      </c>
      <c r="C42" s="80"/>
      <c r="D42" s="80"/>
      <c r="E42" s="80"/>
      <c r="F42" s="81"/>
      <c r="G42" s="72">
        <v>0</v>
      </c>
      <c r="H42" s="14" t="s">
        <v>3</v>
      </c>
      <c r="I42" s="1"/>
    </row>
    <row r="43" spans="1:9" x14ac:dyDescent="0.25">
      <c r="A43" s="1"/>
      <c r="B43" s="121" t="s">
        <v>132</v>
      </c>
      <c r="C43" s="122"/>
      <c r="D43" s="122"/>
      <c r="E43" s="122"/>
      <c r="F43" s="123"/>
      <c r="G43" s="23">
        <f>(G41)*'Fane 15. Nøgletal'!C26+G42*'Fane 15. Nøgletal'!C27</f>
        <v>419690.36484210449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30195138.269985847</v>
      </c>
      <c r="H53" s="14" t="s">
        <v>3</v>
      </c>
      <c r="I53" s="1"/>
    </row>
    <row r="54" spans="1:9" x14ac:dyDescent="0.25">
      <c r="A54" s="1"/>
      <c r="B54" s="79" t="s">
        <v>195</v>
      </c>
      <c r="C54" s="80"/>
      <c r="D54" s="80"/>
      <c r="E54" s="80"/>
      <c r="F54" s="81"/>
      <c r="G54" s="72">
        <v>0</v>
      </c>
      <c r="H54" s="14" t="s">
        <v>3</v>
      </c>
      <c r="I54" s="1"/>
    </row>
    <row r="55" spans="1:9" x14ac:dyDescent="0.25">
      <c r="A55" s="1"/>
      <c r="B55" s="121" t="s">
        <v>218</v>
      </c>
      <c r="C55" s="122"/>
      <c r="D55" s="122"/>
      <c r="E55" s="122"/>
      <c r="F55" s="123"/>
      <c r="G55" s="72">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32634905.442200702</v>
      </c>
      <c r="H59" s="14" t="s">
        <v>3</v>
      </c>
      <c r="I59" s="1"/>
    </row>
    <row r="60" spans="1:9" x14ac:dyDescent="0.25">
      <c r="A60" s="1"/>
      <c r="B60" s="121" t="s">
        <v>220</v>
      </c>
      <c r="C60" s="122"/>
      <c r="D60" s="122"/>
      <c r="E60" s="122"/>
      <c r="F60" s="123"/>
      <c r="G60" s="72">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35271805.801930517</v>
      </c>
      <c r="H64" s="14" t="s">
        <v>3</v>
      </c>
      <c r="I64" s="1"/>
    </row>
    <row r="65" spans="1:9" x14ac:dyDescent="0.25">
      <c r="A65" s="1"/>
      <c r="B65" s="121" t="s">
        <v>222</v>
      </c>
      <c r="C65" s="122"/>
      <c r="D65" s="122"/>
      <c r="E65" s="122"/>
      <c r="F65" s="123"/>
      <c r="G65" s="72">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38121767.7107265</v>
      </c>
      <c r="H69" s="14" t="s">
        <v>3</v>
      </c>
      <c r="I69" s="1"/>
    </row>
    <row r="70" spans="1:9" x14ac:dyDescent="0.25">
      <c r="A70" s="1"/>
      <c r="B70" s="121" t="s">
        <v>222</v>
      </c>
      <c r="C70" s="122"/>
      <c r="D70" s="122"/>
      <c r="E70" s="122"/>
      <c r="F70" s="123"/>
      <c r="G70" s="72">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S34kBaTp8wXwbwHepAbaPzgwMnbDGmBmuvHthcKrRA37qTWsiHBSMmorT4Cl888vYjQgBL0ryRvtXk+Wu9MN0Q==" saltValue="dMsUA6TQzVfLdzMhEnH3Q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1.5871137029661787E-2</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0khBEHeW96GFFd7kgN2dAeOWkiqkcaYurRKe1pVKF8e4IuZL7LaVlyabUv4qPdyIy7x0W0HeyJk/2uH62p4bBA==" saltValue="ffwX+g7NtMSqyyk1H9/nq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2023-11-30T15:19:22Z</dcterms:modified>
</cp:coreProperties>
</file>