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Energi Viborg Vand AS (V043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  <externalReference r:id="rId19"/>
  </externalReferences>
  <definedNames>
    <definedName name="Pris19">[1]Nøgletal!$C$5</definedName>
    <definedName name="Pris20">[2]Nøgletal!$C$6</definedName>
    <definedName name="Pris21">[2]Nøgletal!$C$7</definedName>
    <definedName name="Pris21UnderSpild">[2]Nøgletal!$E$7</definedName>
  </definedNames>
  <calcPr calcId="162913"/>
</workbook>
</file>

<file path=xl/calcChain.xml><?xml version="1.0" encoding="utf-8"?>
<calcChain xmlns="http://schemas.openxmlformats.org/spreadsheetml/2006/main">
  <c r="E30" i="32" l="1"/>
  <c r="E12" i="32" l="1"/>
  <c r="E35" i="32" l="1"/>
  <c r="E26" i="32" l="1"/>
  <c r="C30" i="2" s="1"/>
  <c r="E37" i="32" l="1"/>
  <c r="C13" i="19"/>
  <c r="C23" i="23" l="1"/>
  <c r="C23" i="22"/>
  <c r="C24" i="15"/>
  <c r="C11" i="29"/>
  <c r="C12" i="29" s="1"/>
  <c r="G30" i="30"/>
  <c r="C11" i="2" l="1"/>
  <c r="G36" i="36" s="1"/>
  <c r="C10" i="2"/>
  <c r="G36" i="30" s="1"/>
  <c r="E10" i="11" l="1"/>
  <c r="G6" i="30" l="1"/>
  <c r="G10" i="30" s="1"/>
  <c r="E32" i="21" l="1"/>
  <c r="E33" i="21" s="1"/>
  <c r="G55" i="36" s="1"/>
  <c r="C32" i="21"/>
  <c r="C33" i="21" s="1"/>
  <c r="G55" i="30" s="1"/>
  <c r="E25" i="21"/>
  <c r="E26" i="21" s="1"/>
  <c r="G49" i="36" s="1"/>
  <c r="C25" i="21"/>
  <c r="C26" i="21" s="1"/>
  <c r="G49" i="30" s="1"/>
  <c r="E18" i="21"/>
  <c r="E19" i="21" s="1"/>
  <c r="G43" i="36" s="1"/>
  <c r="C18" i="21"/>
  <c r="C19" i="21" s="1"/>
  <c r="G43" i="30" s="1"/>
  <c r="C11" i="15" l="1"/>
  <c r="C10" i="15"/>
  <c r="C9" i="22"/>
  <c r="C10" i="22"/>
  <c r="C10" i="23"/>
  <c r="C9" i="23"/>
  <c r="E35" i="39"/>
  <c r="C35" i="39"/>
  <c r="C36" i="39" s="1"/>
  <c r="E27" i="39"/>
  <c r="C27" i="39"/>
  <c r="C28" i="39" s="1"/>
  <c r="E19" i="39"/>
  <c r="C19" i="39"/>
  <c r="C20" i="39" s="1"/>
  <c r="E11" i="39"/>
  <c r="C11" i="39"/>
  <c r="C12" i="39" s="1"/>
  <c r="E20" i="39" l="1"/>
  <c r="E21" i="39"/>
  <c r="E36" i="39"/>
  <c r="E37" i="39"/>
  <c r="E12" i="39"/>
  <c r="E13" i="39"/>
  <c r="E28" i="39"/>
  <c r="E29" i="39"/>
  <c r="C13" i="39"/>
  <c r="C14" i="39" s="1"/>
  <c r="C29" i="39"/>
  <c r="C30" i="39" s="1"/>
  <c r="C21" i="39"/>
  <c r="C22" i="39" s="1"/>
  <c r="C37" i="39"/>
  <c r="C38" i="39" s="1"/>
  <c r="E30" i="39" l="1"/>
  <c r="C20" i="22" s="1"/>
  <c r="E38" i="39"/>
  <c r="C20" i="23" s="1"/>
  <c r="E14" i="39"/>
  <c r="C27" i="2" s="1"/>
  <c r="E22" i="39"/>
  <c r="C21" i="15" s="1"/>
  <c r="C19" i="23"/>
  <c r="C19" i="22"/>
  <c r="C20" i="15"/>
  <c r="C26" i="2"/>
  <c r="C21" i="22" l="1"/>
  <c r="C21" i="23"/>
  <c r="C22" i="15"/>
  <c r="C28" i="2"/>
  <c r="G6" i="36" l="1"/>
  <c r="G10" i="36" s="1"/>
  <c r="G12" i="36" l="1"/>
  <c r="G16" i="36" s="1"/>
  <c r="G19" i="36" s="1"/>
  <c r="G12" i="30"/>
  <c r="G16" i="30" s="1"/>
  <c r="G19" i="30" s="1"/>
  <c r="G23" i="36" l="1"/>
  <c r="G25" i="36" s="1"/>
  <c r="G23" i="30"/>
  <c r="G25" i="30" s="1"/>
  <c r="G29" i="30" l="1"/>
  <c r="G29" i="36"/>
  <c r="G31" i="30" l="1"/>
  <c r="G35" i="30" s="1"/>
  <c r="G31" i="36"/>
  <c r="G35" i="36" s="1"/>
  <c r="F11" i="11"/>
  <c r="G11" i="11"/>
  <c r="C10" i="37" l="1"/>
  <c r="C12" i="37" s="1"/>
  <c r="C13" i="37" s="1"/>
  <c r="C12" i="2" s="1"/>
  <c r="E11" i="21"/>
  <c r="E12" i="21" s="1"/>
  <c r="C11" i="21"/>
  <c r="C12" i="21" s="1"/>
  <c r="E11" i="29"/>
  <c r="E12" i="29" s="1"/>
  <c r="C14" i="19" l="1"/>
  <c r="C16" i="2"/>
  <c r="C17" i="2"/>
  <c r="C15" i="2"/>
  <c r="C14" i="2"/>
  <c r="C24" i="2" l="1"/>
  <c r="C17" i="22"/>
  <c r="C17" i="23"/>
  <c r="C18" i="15"/>
  <c r="G37" i="30"/>
  <c r="G38" i="30" s="1"/>
  <c r="E11" i="11"/>
  <c r="E10" i="37" l="1"/>
  <c r="E12" i="37" s="1"/>
  <c r="E13" i="37" s="1"/>
  <c r="C13" i="2" s="1"/>
  <c r="G37" i="36" s="1"/>
  <c r="G38" i="36" l="1"/>
  <c r="G42" i="36" s="1"/>
  <c r="G44" i="36" s="1"/>
  <c r="C20" i="2"/>
  <c r="G42" i="30" l="1"/>
  <c r="G44" i="30" s="1"/>
  <c r="C14" i="15" s="1"/>
  <c r="E20" i="27"/>
  <c r="E31" i="27" s="1"/>
  <c r="C9" i="2" l="1"/>
  <c r="C18" i="2" s="1"/>
  <c r="C19" i="2" s="1"/>
  <c r="G48" i="30"/>
  <c r="G50" i="30" s="1"/>
  <c r="C21" i="2"/>
  <c r="C15" i="15"/>
  <c r="C22" i="2" l="1"/>
  <c r="G54" i="30"/>
  <c r="G56" i="30" s="1"/>
  <c r="C13" i="23" s="1"/>
  <c r="C13" i="22"/>
  <c r="G48" i="36"/>
  <c r="G50" i="36" s="1"/>
  <c r="C14" i="22" s="1"/>
  <c r="G54" i="36" l="1"/>
  <c r="G56" i="36" s="1"/>
  <c r="C14" i="23" s="1"/>
  <c r="C9" i="15"/>
  <c r="C12" i="15" l="1"/>
  <c r="C13" i="15" s="1"/>
  <c r="C16" i="15" s="1"/>
  <c r="C8" i="22" l="1"/>
  <c r="C11" i="22" s="1"/>
  <c r="C12" i="22" l="1"/>
  <c r="C15" i="22" s="1"/>
  <c r="C26" i="22" s="1"/>
  <c r="C8" i="23" l="1"/>
  <c r="C11" i="23" s="1"/>
  <c r="C12" i="23" l="1"/>
  <c r="C15" i="23" s="1"/>
  <c r="C26" i="23" s="1"/>
  <c r="C33" i="2" l="1"/>
  <c r="C27" i="15" l="1"/>
</calcChain>
</file>

<file path=xl/sharedStrings.xml><?xml version="1.0" encoding="utf-8"?>
<sst xmlns="http://schemas.openxmlformats.org/spreadsheetml/2006/main" count="618" uniqueCount="253">
  <si>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</si>
  <si>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</si>
  <si>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</si>
  <si>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</si>
  <si>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</si>
  <si>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</si>
  <si>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</si>
  <si>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</si>
  <si>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</si>
  <si>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</si>
  <si>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</si>
  <si>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</si>
  <si>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</si>
  <si>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</si>
  <si>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</si>
  <si>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</si>
  <si>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</si>
  <si>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</si>
  <si>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</si>
  <si>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</si>
  <si>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</si>
  <si>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</si>
  <si>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</si>
  <si>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</si>
  <si>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</si>
  <si>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</si>
  <si>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</si>
  <si>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</si>
  <si>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</si>
  <si>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</si>
  <si>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</si>
  <si>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</si>
  <si>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</si>
  <si>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</si>
  <si>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</si>
  <si>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</si>
  <si>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</si>
  <si>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</si>
  <si>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</si>
  <si>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</si>
  <si>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</si>
  <si>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</si>
  <si>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</si>
  <si>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</si>
  <si>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</si>
  <si>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</si>
  <si>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</si>
  <si>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</si>
  <si>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</si>
  <si>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</si>
  <si>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</si>
  <si>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</si>
  <si>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</si>
  <si>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</si>
  <si>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</si>
  <si>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</si>
  <si>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</si>
  <si>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</si>
  <si>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</si>
  <si>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</si>
  <si>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</si>
  <si>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</si>
  <si>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</si>
  <si>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</si>
  <si>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</si>
  <si>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</si>
  <si>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</si>
  <si>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</si>
  <si>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</si>
  <si>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</si>
  <si>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</si>
  <si>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</si>
  <si>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</si>
  <si>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</si>
  <si>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</si>
  <si>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</si>
  <si>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</si>
  <si>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</si>
  <si>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</si>
  <si>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</si>
  <si>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</si>
  <si>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</si>
  <si>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</si>
  <si>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</si>
  <si>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</si>
  <si>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</si>
  <si>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</si>
  <si>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</si>
  <si>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</si>
  <si>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</si>
  <si>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</si>
  <si>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</si>
  <si>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</si>
  <si>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</si>
  <si>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</si>
  <si>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</si>
  <si>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</si>
  <si>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</si>
  <si>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</si>
  <si>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2023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</si>
  <si>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</si>
  <si>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</si>
  <si>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</si>
  <si>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</si>
  <si>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</si>
  <si>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Individuelt effektiviseringskrav til de økonomiske rammer for 2019-2020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</si>
  <si>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</si>
  <si>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</si>
  <si>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</si>
  <si>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</si>
  <si>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</si>
  <si>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</si>
  <si>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</si>
  <si>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</si>
  <si>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</si>
  <si>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</si>
  <si>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</si>
  <si>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</si>
  <si>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</si>
  <si>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</si>
  <si>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</si>
  <si>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</si>
  <si>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</si>
  <si>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</si>
  <si>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</si>
  <si>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</si>
  <si>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</si>
  <si>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</si>
  <si>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Vejledende økonomisk ramme for 2024</t>
  </si>
  <si>
    <t>Tilknyttet virksomhed</t>
  </si>
  <si>
    <t>Tilknyttet virksomhed under hovedvirksomheden</t>
  </si>
  <si>
    <t>Beskrivelse af tilknyttet virksomhed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</si>
  <si>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</si>
  <si>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</si>
  <si>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</si>
  <si>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</si>
  <si>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Nye tillæg i alt i 2020-prisniveau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</si>
  <si>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</si>
  <si>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</si>
  <si>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</si>
  <si>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</si>
  <si>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</si>
  <si>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</si>
  <si>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</si>
  <si>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</si>
  <si>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</si>
  <si>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</si>
  <si>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</si>
  <si>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</si>
  <si>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</si>
  <si>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</si>
  <si>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</si>
  <si>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</si>
  <si>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</si>
  <si>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</si>
  <si>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</si>
  <si>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</si>
  <si>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</si>
  <si>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</si>
  <si>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</si>
  <si>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de økonomiske rammer til indregning</t>
  </si>
  <si>
    <t>Kontrol med overholdelse af økonomiske rammer</t>
  </si>
  <si>
    <t>Kontrol med overholdelse af den økonomiske ramme</t>
  </si>
  <si>
    <t>Samlet økonomisk ramme for 2022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</si>
  <si>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</si>
  <si>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</si>
  <si>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</si>
  <si>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</si>
  <si>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</si>
  <si>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</si>
  <si>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</si>
  <si>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</si>
  <si>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</si>
  <si>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</si>
  <si>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</si>
  <si>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</si>
  <si>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</si>
  <si>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</si>
  <si>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</si>
  <si>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</si>
  <si>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Til økonomiske rammer for 2022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</si>
  <si>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</si>
  <si>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</si>
  <si>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</si>
  <si>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</si>
  <si>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</si>
  <si>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</si>
  <si>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>Økonomisk ramme for 2024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</si>
  <si>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</si>
  <si>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</si>
  <si>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</si>
  <si>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</si>
  <si>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 xml:space="preserve">Note: Denne opgørelse er taget fra jeres afgørelse for den økonomiske ramme for 2021. I kan derfor ikke komme med høringssvar til denne opgørelse. </t>
  </si>
  <si>
    <t>- Heraf nye driftsomkostninger til de økonomiske rammer for 2021</t>
  </si>
  <si>
    <t>Nye anlægsomkostninger i de økonomiske rammer for 2022</t>
  </si>
  <si>
    <t>Generelt effektiviseringskrav til anlægsomkostninger i de vejledende økonomiske rammer for 2025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</si>
  <si>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</si>
  <si>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</si>
  <si>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</si>
  <si>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</si>
  <si>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</si>
  <si>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</si>
  <si>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</si>
  <si>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Faktiske ikke-påvirkelige omkostninger i 2020</t>
  </si>
  <si>
    <t>Faktiske omkostninger i 2020</t>
  </si>
  <si>
    <t>Ikke-påvirkelige omkostninger i 2020-prisniveau</t>
  </si>
  <si>
    <t>Ikke-påvirkelige omkostninger i 2022-prisniveau</t>
  </si>
  <si>
    <t>Kontrol med overholdelse af den økonomiske ramme for 2020</t>
  </si>
  <si>
    <t>Indtægtsramme i den økonomiske ramme for 2020</t>
  </si>
  <si>
    <t>Faktiske indtægter i 2020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</si>
  <si>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</si>
  <si>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</si>
  <si>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</si>
  <si>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</si>
  <si>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</si>
  <si>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fra og med de økonomiske rammer for 2025</t>
  </si>
  <si>
    <t>Bortfald eller nedsættelse i alt i 2024-prisniveau</t>
  </si>
  <si>
    <t>Prisudvikling til brug for nye omkostninger i ØR2022</t>
  </si>
  <si>
    <t>Generelt effektiviseringskrav til brug for nye anlægsomkostninger i ØR2022</t>
  </si>
  <si>
    <t>- Heraf nye omkostninger i ØR21 - Drift</t>
  </si>
  <si>
    <t>- Heraf nye omkostninger i ØR21 - Anlæg</t>
  </si>
  <si>
    <t>Fane 7: Kontrol med overholdelse af den økonomiske ramme for 2020</t>
  </si>
  <si>
    <t>Nye driftsomkostninger til de økonomiske rammer for 2022</t>
  </si>
  <si>
    <t>- Heraf nye anlægsomkostninger til de økonomiske rammer for 2021</t>
  </si>
  <si>
    <t>Oversigt over den økonomiske ramme for 2021</t>
  </si>
  <si>
    <t xml:space="preserve">Indtægter fra tilbagebetalt skat eller sambeskatningsbidrag som følge af skattesagen </t>
  </si>
  <si>
    <t xml:space="preserve">Nedsættelse af økonomisk ramme som følge af skattesagen </t>
  </si>
  <si>
    <t>Ingen tilknyttet virksomhed</t>
  </si>
  <si>
    <t>Udvidelse af forsyningsområde</t>
  </si>
  <si>
    <t>Ingen engangstillæg</t>
  </si>
  <si>
    <t>Afgift for ledningsført vand</t>
  </si>
  <si>
    <t>Afgift til Forsyningssekretariatet</t>
  </si>
  <si>
    <t>Ejendomsskat</t>
  </si>
  <si>
    <t>Ingen bortfald eller nedsættelse</t>
  </si>
  <si>
    <t>Tidligere opgjorte kontrol med overholdelse af økonomiske rammer</t>
  </si>
  <si>
    <t>Over/underdækning i 2017</t>
  </si>
  <si>
    <t>Over/underdækning i 2018</t>
  </si>
  <si>
    <t>Over/underdækning i 2019</t>
  </si>
  <si>
    <t>Korrigeret 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</si>
  <si>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</si>
  <si>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</si>
  <si>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</si>
  <si>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</si>
  <si>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indregnede fradrag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</si>
  <si>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</si>
  <si>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</si>
  <si>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</si>
  <si>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Korrektion af tidligere rammer</t>
  </si>
  <si>
    <t>Engangskorrektion vedrørende erstatninger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</si>
  <si>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</si>
  <si>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Resultat af kontrol med overholdelse af den økonomiske ramme for 2020</t>
  </si>
  <si>
    <t>Yderligere opkrævningsret for de økonomiske rammer 2017 og/eller 2018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</si>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</sst>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40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7" fillId="3" borderId="1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/>
    </xf>
    <xf numFmtId="49" fontId="0" fillId="2" borderId="0" xfId="0" applyNumberFormat="1" applyFill="1" applyProtection="1"/>
    <xf numFmtId="49" fontId="8" fillId="8" borderId="6" xfId="0" applyNumberFormat="1" applyFont="1" applyFill="1" applyBorder="1" applyAlignment="1" applyProtection="1">
      <alignment horizontal="left"/>
    </xf>
    <xf numFmtId="49" fontId="8" fillId="8" borderId="3" xfId="0" applyNumberFormat="1" applyFont="1" applyFill="1" applyBorder="1" applyAlignment="1" applyProtection="1">
      <alignment horizontal="left"/>
    </xf>
    <xf numFmtId="49" fontId="0" fillId="0" borderId="0" xfId="0" applyNumberFormat="1" applyProtection="1"/>
    <xf numFmtId="1" fontId="8" fillId="8" borderId="1" xfId="1" applyNumberFormat="1" applyFont="1" applyFill="1" applyBorder="1" applyProtection="1"/>
    <xf numFmtId="3" fontId="8" fillId="8" borderId="1" xfId="0" quotePrefix="1" applyNumberFormat="1" applyFont="1" applyFill="1" applyBorder="1" applyProtection="1"/>
    <xf numFmtId="10" fontId="8" fillId="8" borderId="1" xfId="0" applyNumberFormat="1" applyFont="1" applyFill="1" applyBorder="1" applyProtection="1"/>
    <xf numFmtId="165" fontId="8" fillId="4" borderId="2" xfId="1" applyNumberFormat="1" applyFont="1" applyFill="1" applyBorder="1" applyAlignment="1" applyProtection="1">
      <alignment horizontal="right"/>
    </xf>
    <xf numFmtId="165" fontId="8" fillId="4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0" fontId="0" fillId="0" borderId="8" xfId="0" applyBorder="1" applyAlignment="1" applyProtection="1">
      <alignment horizontal="center" wrapText="1"/>
    </xf>
    <xf numFmtId="0" fontId="8" fillId="8" borderId="9" xfId="0" applyFont="1" applyFill="1" applyBorder="1" applyAlignment="1" applyProtection="1">
      <alignment horizontal="center" vertical="top" wrapText="1"/>
    </xf>
    <xf numFmtId="0" fontId="8" fillId="8" borderId="7" xfId="0" applyFont="1" applyFill="1" applyBorder="1" applyAlignment="1" applyProtection="1">
      <alignment horizontal="center" vertical="top" wrapText="1"/>
    </xf>
    <xf numFmtId="0" fontId="8" fillId="8" borderId="10" xfId="0" applyFont="1" applyFill="1" applyBorder="1" applyAlignment="1" applyProtection="1">
      <alignment horizontal="center" vertical="top" wrapText="1"/>
    </xf>
    <xf numFmtId="0" fontId="8" fillId="8" borderId="11" xfId="0" applyFont="1" applyFill="1" applyBorder="1" applyAlignment="1" applyProtection="1">
      <alignment horizontal="center" vertical="top" wrapText="1"/>
    </xf>
    <xf numFmtId="0" fontId="8" fillId="8" borderId="8" xfId="0" applyFont="1" applyFill="1" applyBorder="1" applyAlignment="1" applyProtection="1">
      <alignment horizontal="center" vertical="top" wrapText="1"/>
    </xf>
    <xf numFmtId="0" fontId="8" fillId="8" borderId="12" xfId="0" applyFont="1" applyFill="1" applyBorder="1" applyAlignment="1" applyProtection="1">
      <alignment horizontal="center" vertical="top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1/&#216;R%20Statusark/&#216;R-statusark_Udkast_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Farvekode forklaring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C5">
            <v>1.0168999999999999</v>
          </cell>
        </row>
      </sheetData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C6">
            <v>1.0197000000000001</v>
          </cell>
        </row>
        <row r="7">
          <cell r="C7">
            <v>1.0122</v>
          </cell>
          <cell r="E7">
            <v>1.0132000000000001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4" t="s">
        <v>4</v>
      </c>
      <c r="E6" s="74"/>
      <c r="F6" s="74"/>
      <c r="G6" s="74"/>
      <c r="H6" s="3"/>
      <c r="I6" s="1"/>
    </row>
    <row r="7" spans="1:9" ht="15" customHeight="1" x14ac:dyDescent="0.25">
      <c r="A7" s="1"/>
      <c r="B7" s="1"/>
      <c r="C7" s="3"/>
      <c r="D7" s="74"/>
      <c r="E7" s="74"/>
      <c r="F7" s="74"/>
      <c r="G7" s="74"/>
      <c r="H7" s="3"/>
      <c r="I7" s="1"/>
    </row>
    <row r="8" spans="1:9" ht="15.75" x14ac:dyDescent="0.25">
      <c r="A8" s="1"/>
      <c r="B8" s="1"/>
      <c r="C8" s="4"/>
      <c r="D8" s="79" t="s">
        <v>180</v>
      </c>
      <c r="E8" s="79"/>
      <c r="F8" s="79"/>
      <c r="G8" s="79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8" t="s">
        <v>5</v>
      </c>
      <c r="E11" s="78"/>
      <c r="F11" s="78"/>
      <c r="G11" s="78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1" t="s">
        <v>163</v>
      </c>
      <c r="E13" s="72"/>
      <c r="F13" s="72"/>
      <c r="G13" s="73"/>
      <c r="H13" s="1"/>
      <c r="I13" s="1"/>
    </row>
    <row r="14" spans="1:9" x14ac:dyDescent="0.25">
      <c r="A14" s="1"/>
      <c r="B14" s="1"/>
      <c r="C14" s="6" t="s">
        <v>15</v>
      </c>
      <c r="D14" s="71" t="s">
        <v>83</v>
      </c>
      <c r="E14" s="72"/>
      <c r="F14" s="72"/>
      <c r="G14" s="73"/>
      <c r="H14" s="1"/>
      <c r="I14" s="1"/>
    </row>
    <row r="15" spans="1:9" x14ac:dyDescent="0.25">
      <c r="A15" s="1"/>
      <c r="B15" s="1"/>
      <c r="C15" s="6" t="s">
        <v>35</v>
      </c>
      <c r="D15" s="71" t="s">
        <v>128</v>
      </c>
      <c r="E15" s="72"/>
      <c r="F15" s="72"/>
      <c r="G15" s="73"/>
      <c r="H15" s="1"/>
      <c r="I15" s="1"/>
    </row>
    <row r="16" spans="1:9" x14ac:dyDescent="0.25">
      <c r="A16" s="1"/>
      <c r="B16" s="1"/>
      <c r="C16" s="6" t="s">
        <v>36</v>
      </c>
      <c r="D16" s="71" t="s">
        <v>181</v>
      </c>
      <c r="E16" s="72"/>
      <c r="F16" s="72"/>
      <c r="G16" s="73"/>
      <c r="H16" s="1"/>
      <c r="I16" s="1"/>
    </row>
    <row r="17" spans="1:9" x14ac:dyDescent="0.25">
      <c r="A17" s="1"/>
      <c r="B17" s="1"/>
      <c r="C17" s="6" t="s">
        <v>127</v>
      </c>
      <c r="D17" s="71" t="s">
        <v>182</v>
      </c>
      <c r="E17" s="72"/>
      <c r="F17" s="72"/>
      <c r="G17" s="73"/>
      <c r="H17" s="1"/>
      <c r="I17" s="1"/>
    </row>
    <row r="18" spans="1:9" x14ac:dyDescent="0.25">
      <c r="A18" s="1"/>
      <c r="B18" s="1"/>
      <c r="C18" s="32" t="s">
        <v>111</v>
      </c>
      <c r="D18" s="80" t="s">
        <v>100</v>
      </c>
      <c r="E18" s="81"/>
      <c r="F18" s="81"/>
      <c r="G18" s="82"/>
      <c r="H18" s="1"/>
      <c r="I18" s="1"/>
    </row>
    <row r="19" spans="1:9" x14ac:dyDescent="0.25">
      <c r="A19" s="1"/>
      <c r="B19" s="1"/>
      <c r="C19" s="32" t="s">
        <v>112</v>
      </c>
      <c r="D19" s="80" t="s">
        <v>101</v>
      </c>
      <c r="E19" s="81"/>
      <c r="F19" s="81"/>
      <c r="G19" s="82"/>
      <c r="H19" s="1"/>
      <c r="I19" s="1"/>
    </row>
    <row r="20" spans="1:9" x14ac:dyDescent="0.25">
      <c r="A20" s="1"/>
      <c r="B20" s="1"/>
      <c r="C20" s="32" t="s">
        <v>7</v>
      </c>
      <c r="D20" s="80" t="s">
        <v>9</v>
      </c>
      <c r="E20" s="81"/>
      <c r="F20" s="81"/>
      <c r="G20" s="82"/>
      <c r="H20" s="1"/>
      <c r="I20" s="1"/>
    </row>
    <row r="21" spans="1:9" x14ac:dyDescent="0.25">
      <c r="A21" s="1"/>
      <c r="B21" s="1"/>
      <c r="C21" s="6" t="s">
        <v>113</v>
      </c>
      <c r="D21" s="86" t="s">
        <v>12</v>
      </c>
      <c r="E21" s="87"/>
      <c r="F21" s="87"/>
      <c r="G21" s="88"/>
      <c r="H21" s="1"/>
      <c r="I21" s="1"/>
    </row>
    <row r="22" spans="1:9" x14ac:dyDescent="0.25">
      <c r="A22" s="1"/>
      <c r="B22" s="1"/>
      <c r="C22" s="6" t="s">
        <v>87</v>
      </c>
      <c r="D22" s="75" t="s">
        <v>183</v>
      </c>
      <c r="E22" s="76"/>
      <c r="F22" s="76"/>
      <c r="G22" s="77"/>
      <c r="H22" s="1"/>
      <c r="I22" s="1"/>
    </row>
    <row r="23" spans="1:9" x14ac:dyDescent="0.25">
      <c r="A23" s="1"/>
      <c r="B23" s="1"/>
      <c r="C23" s="6" t="s">
        <v>8</v>
      </c>
      <c r="D23" s="75" t="s">
        <v>37</v>
      </c>
      <c r="E23" s="76"/>
      <c r="F23" s="76"/>
      <c r="G23" s="77"/>
      <c r="H23" s="1"/>
      <c r="I23" s="1"/>
    </row>
    <row r="24" spans="1:9" x14ac:dyDescent="0.25">
      <c r="A24" s="1"/>
      <c r="B24" s="1"/>
      <c r="C24" s="6" t="s">
        <v>170</v>
      </c>
      <c r="D24" s="75" t="s">
        <v>88</v>
      </c>
      <c r="E24" s="76"/>
      <c r="F24" s="76"/>
      <c r="G24" s="77"/>
      <c r="H24" s="1"/>
      <c r="I24" s="1"/>
    </row>
    <row r="25" spans="1:9" x14ac:dyDescent="0.25">
      <c r="A25" s="1"/>
      <c r="B25" s="1"/>
      <c r="C25" s="6" t="s">
        <v>171</v>
      </c>
      <c r="D25" s="75" t="s">
        <v>89</v>
      </c>
      <c r="E25" s="76"/>
      <c r="F25" s="76"/>
      <c r="G25" s="77"/>
      <c r="H25" s="1"/>
      <c r="I25" s="1"/>
    </row>
    <row r="26" spans="1:9" x14ac:dyDescent="0.25">
      <c r="A26" s="1"/>
      <c r="B26" s="1"/>
      <c r="C26" s="6" t="s">
        <v>172</v>
      </c>
      <c r="D26" s="75" t="s">
        <v>129</v>
      </c>
      <c r="E26" s="76"/>
      <c r="F26" s="76"/>
      <c r="G26" s="77"/>
      <c r="H26" s="1"/>
      <c r="I26" s="1"/>
    </row>
    <row r="27" spans="1:9" x14ac:dyDescent="0.25">
      <c r="A27" s="1"/>
      <c r="B27" s="1"/>
      <c r="C27" s="6" t="s">
        <v>114</v>
      </c>
      <c r="D27" s="75" t="s">
        <v>38</v>
      </c>
      <c r="E27" s="76"/>
      <c r="F27" s="76"/>
      <c r="G27" s="77"/>
      <c r="H27" s="1"/>
      <c r="I27" s="1"/>
    </row>
    <row r="28" spans="1:9" x14ac:dyDescent="0.25">
      <c r="A28" s="1"/>
      <c r="B28" s="1"/>
      <c r="C28" s="6" t="s">
        <v>108</v>
      </c>
      <c r="D28" s="83" t="s">
        <v>109</v>
      </c>
      <c r="E28" s="84"/>
      <c r="F28" s="84"/>
      <c r="G28" s="85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dKrpzgXstbggKiHPOeNT4nBTR9m23gctsQyn+C9M5g+2POUajys4R6+W9zNtshN+b1VNdjPUzeJbQfUTOMj7fA==" saltValue="Xlp/aDvOB4ovsO4M+GEQdw==" spinCount="100000" sheet="1" objects="1" scenarios="1"/>
  <mergeCells count="19">
    <mergeCell ref="D27:G27"/>
    <mergeCell ref="D28:G28"/>
    <mergeCell ref="D21:G21"/>
    <mergeCell ref="D23:G23"/>
    <mergeCell ref="D24:G24"/>
    <mergeCell ref="D26:G26"/>
    <mergeCell ref="D25:G25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3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1:G21" location="'Fane 6. Ikke-påvirkelige omk.'!A1" display="Ikke-påvirkelige omkostninger"/>
    <hyperlink ref="D22:G22" location="'Fane 7. Kontrol af ØR2020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1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9" t="s">
        <v>117</v>
      </c>
      <c r="C3" s="89"/>
      <c r="D3" s="89"/>
      <c r="E3" s="1"/>
      <c r="F3" s="1"/>
    </row>
    <row r="4" spans="1:6" ht="15" customHeight="1" x14ac:dyDescent="0.25">
      <c r="A4" s="1"/>
      <c r="B4" s="89"/>
      <c r="C4" s="89"/>
      <c r="D4" s="89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15" t="s">
        <v>203</v>
      </c>
      <c r="C8" s="116"/>
      <c r="D8" s="117"/>
      <c r="E8" s="1"/>
      <c r="F8" s="1"/>
    </row>
    <row r="9" spans="1:6" ht="15" customHeight="1" x14ac:dyDescent="0.25">
      <c r="A9" s="1"/>
      <c r="B9" s="51" t="s">
        <v>33</v>
      </c>
      <c r="C9" s="11" t="s">
        <v>204</v>
      </c>
      <c r="D9" s="11"/>
      <c r="E9" s="1"/>
      <c r="F9" s="1"/>
    </row>
    <row r="10" spans="1:6" x14ac:dyDescent="0.25">
      <c r="A10" s="1"/>
      <c r="B10" s="66" t="s">
        <v>230</v>
      </c>
      <c r="C10" s="9">
        <v>14451095</v>
      </c>
      <c r="D10" s="14" t="s">
        <v>3</v>
      </c>
      <c r="E10" s="1"/>
      <c r="F10" s="1"/>
    </row>
    <row r="11" spans="1:6" x14ac:dyDescent="0.25">
      <c r="A11" s="1"/>
      <c r="B11" s="66" t="s">
        <v>231</v>
      </c>
      <c r="C11" s="9">
        <v>69078</v>
      </c>
      <c r="D11" s="14" t="s">
        <v>3</v>
      </c>
      <c r="E11" s="1"/>
      <c r="F11" s="1"/>
    </row>
    <row r="12" spans="1:6" x14ac:dyDescent="0.25">
      <c r="A12" s="1"/>
      <c r="B12" s="66" t="s">
        <v>232</v>
      </c>
      <c r="C12" s="9">
        <v>61152</v>
      </c>
      <c r="D12" s="14" t="s">
        <v>3</v>
      </c>
      <c r="E12" s="1"/>
      <c r="F12" s="1"/>
    </row>
    <row r="13" spans="1:6" x14ac:dyDescent="0.25">
      <c r="A13" s="1"/>
      <c r="B13" s="54" t="s">
        <v>205</v>
      </c>
      <c r="C13" s="12">
        <f>SUM(C10:C12)</f>
        <v>14581325</v>
      </c>
      <c r="D13" s="13" t="s">
        <v>3</v>
      </c>
      <c r="E13" s="1"/>
      <c r="F13" s="1"/>
    </row>
    <row r="14" spans="1:6" x14ac:dyDescent="0.25">
      <c r="A14" s="1"/>
      <c r="B14" s="54" t="s">
        <v>206</v>
      </c>
      <c r="C14" s="12">
        <f>C13*(1+'Fane 12. Nøgletal'!C14)^2</f>
        <v>14677720.535629252</v>
      </c>
      <c r="D14" s="13" t="s">
        <v>3</v>
      </c>
      <c r="E14" s="1"/>
      <c r="F14" s="1"/>
    </row>
    <row r="15" spans="1:6" x14ac:dyDescent="0.25">
      <c r="A15" s="1"/>
      <c r="B15" s="16"/>
      <c r="C15" s="15"/>
      <c r="D15" s="15"/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17I2m14eF+76I2FC9Qx5GYALbLgwbXlwe3TQ/4WJUCCp9KEUnCKSC1bsfpCWNceNyjnvPXHlBA4naFhEbyPxfg==" saltValue="swRsVTM33jwdA7JUwxtn5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108" t="s">
        <v>221</v>
      </c>
      <c r="C3" s="108"/>
      <c r="D3" s="108"/>
      <c r="E3" s="108"/>
      <c r="F3" s="108"/>
      <c r="G3" s="1"/>
    </row>
    <row r="4" spans="1:7" ht="15" customHeight="1" x14ac:dyDescent="0.25">
      <c r="A4" s="1"/>
      <c r="B4" s="108"/>
      <c r="C4" s="108"/>
      <c r="D4" s="108"/>
      <c r="E4" s="108"/>
      <c r="F4" s="108"/>
      <c r="G4" s="1"/>
    </row>
    <row r="5" spans="1:7" ht="15" customHeight="1" x14ac:dyDescent="0.25">
      <c r="A5" s="1"/>
      <c r="B5" s="58"/>
      <c r="C5" s="58"/>
      <c r="D5" s="58"/>
      <c r="E5" s="58"/>
      <c r="F5" s="58"/>
      <c r="G5" s="1"/>
    </row>
    <row r="6" spans="1:7" ht="15" customHeight="1" x14ac:dyDescent="0.25">
      <c r="A6" s="1"/>
      <c r="B6" s="58"/>
      <c r="C6" s="58"/>
      <c r="D6" s="58"/>
      <c r="E6" s="58"/>
      <c r="F6" s="58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5" t="s">
        <v>234</v>
      </c>
      <c r="C8" s="116"/>
      <c r="D8" s="116"/>
      <c r="E8" s="116"/>
      <c r="F8" s="117"/>
      <c r="G8" s="1"/>
    </row>
    <row r="9" spans="1:7" x14ac:dyDescent="0.25">
      <c r="A9" s="1"/>
      <c r="B9" s="112" t="s">
        <v>235</v>
      </c>
      <c r="C9" s="113"/>
      <c r="D9" s="114"/>
      <c r="E9" s="9">
        <v>3620327.6707674414</v>
      </c>
      <c r="F9" s="14" t="s">
        <v>3</v>
      </c>
      <c r="G9" s="1"/>
    </row>
    <row r="10" spans="1:7" x14ac:dyDescent="0.25">
      <c r="A10" s="1"/>
      <c r="B10" s="112" t="s">
        <v>236</v>
      </c>
      <c r="C10" s="113"/>
      <c r="D10" s="114"/>
      <c r="E10" s="9">
        <v>-7187910.7119912282</v>
      </c>
      <c r="F10" s="14" t="s">
        <v>3</v>
      </c>
      <c r="G10" s="1"/>
    </row>
    <row r="11" spans="1:7" x14ac:dyDescent="0.25">
      <c r="A11" s="1"/>
      <c r="B11" s="112" t="s">
        <v>237</v>
      </c>
      <c r="C11" s="113"/>
      <c r="D11" s="114"/>
      <c r="E11" s="9">
        <v>-318077.81735338271</v>
      </c>
      <c r="F11" s="14" t="s">
        <v>3</v>
      </c>
      <c r="G11" s="1"/>
    </row>
    <row r="12" spans="1:7" x14ac:dyDescent="0.25">
      <c r="A12" s="1"/>
      <c r="B12" s="112" t="s">
        <v>238</v>
      </c>
      <c r="C12" s="113"/>
      <c r="D12" s="114"/>
      <c r="E12" s="9">
        <f>IF(OR(AND(E10&gt;0,E11&lt;0),AND(E11&lt;0,E34&gt;0)),E17+E18,E11)</f>
        <v>-318077.81735338271</v>
      </c>
      <c r="F12" s="14" t="s">
        <v>3</v>
      </c>
      <c r="G12" s="1"/>
    </row>
    <row r="13" spans="1:7" x14ac:dyDescent="0.25">
      <c r="A13" s="1"/>
      <c r="B13" s="54"/>
      <c r="C13" s="55"/>
      <c r="D13" s="55"/>
      <c r="E13" s="55"/>
      <c r="F13" s="20"/>
      <c r="G13" s="1"/>
    </row>
    <row r="14" spans="1:7" ht="54.75" customHeight="1" x14ac:dyDescent="0.25">
      <c r="A14" s="1"/>
      <c r="B14" s="91" t="s">
        <v>239</v>
      </c>
      <c r="C14" s="92"/>
      <c r="D14" s="92"/>
      <c r="E14" s="92"/>
      <c r="F14" s="93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5" t="s">
        <v>240</v>
      </c>
      <c r="C16" s="116"/>
      <c r="D16" s="116"/>
      <c r="E16" s="116"/>
      <c r="F16" s="117"/>
      <c r="G16" s="1"/>
    </row>
    <row r="17" spans="1:7" x14ac:dyDescent="0.25">
      <c r="A17" s="1"/>
      <c r="B17" s="112" t="s">
        <v>241</v>
      </c>
      <c r="C17" s="113"/>
      <c r="D17" s="114"/>
      <c r="E17" s="9">
        <v>-1861588.0206118934</v>
      </c>
      <c r="F17" s="14" t="s">
        <v>3</v>
      </c>
      <c r="G17" s="1"/>
    </row>
    <row r="18" spans="1:7" x14ac:dyDescent="0.25">
      <c r="A18" s="1"/>
      <c r="B18" s="112" t="s">
        <v>242</v>
      </c>
      <c r="C18" s="113"/>
      <c r="D18" s="114"/>
      <c r="E18" s="9">
        <v>-1861588.0206118934</v>
      </c>
      <c r="F18" s="14" t="s">
        <v>3</v>
      </c>
      <c r="G18" s="1"/>
    </row>
    <row r="19" spans="1:7" x14ac:dyDescent="0.25">
      <c r="A19" s="1"/>
      <c r="B19" s="54"/>
      <c r="C19" s="55"/>
      <c r="D19" s="55"/>
      <c r="E19" s="55"/>
      <c r="F19" s="20"/>
      <c r="G19" s="1"/>
    </row>
    <row r="20" spans="1:7" ht="30" customHeight="1" x14ac:dyDescent="0.25">
      <c r="A20" s="1"/>
      <c r="B20" s="91" t="s">
        <v>243</v>
      </c>
      <c r="C20" s="92"/>
      <c r="D20" s="92"/>
      <c r="E20" s="92"/>
      <c r="F20" s="93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63" t="s">
        <v>207</v>
      </c>
      <c r="C22" s="64"/>
      <c r="D22" s="64"/>
      <c r="E22" s="64"/>
      <c r="F22" s="65"/>
      <c r="G22" s="1"/>
    </row>
    <row r="23" spans="1:7" x14ac:dyDescent="0.25">
      <c r="A23" s="1"/>
      <c r="B23" s="60" t="s">
        <v>208</v>
      </c>
      <c r="C23" s="61"/>
      <c r="D23" s="62"/>
      <c r="E23" s="9">
        <v>44170679.668093294</v>
      </c>
      <c r="F23" s="14" t="s">
        <v>3</v>
      </c>
      <c r="G23" s="1"/>
    </row>
    <row r="24" spans="1:7" x14ac:dyDescent="0.25">
      <c r="A24" s="1"/>
      <c r="B24" s="60" t="s">
        <v>209</v>
      </c>
      <c r="C24" s="61"/>
      <c r="D24" s="62"/>
      <c r="E24" s="9">
        <v>43629924</v>
      </c>
      <c r="F24" s="14" t="s">
        <v>3</v>
      </c>
      <c r="G24" s="1"/>
    </row>
    <row r="25" spans="1:7" x14ac:dyDescent="0.25">
      <c r="A25" s="1"/>
      <c r="B25" s="60" t="s">
        <v>34</v>
      </c>
      <c r="C25" s="61"/>
      <c r="D25" s="62"/>
      <c r="E25" s="9">
        <v>0</v>
      </c>
      <c r="F25" s="14" t="s">
        <v>3</v>
      </c>
      <c r="G25" s="1"/>
    </row>
    <row r="26" spans="1:7" x14ac:dyDescent="0.25">
      <c r="A26" s="1"/>
      <c r="B26" s="67" t="s">
        <v>250</v>
      </c>
      <c r="C26" s="68"/>
      <c r="D26" s="69"/>
      <c r="E26" s="45">
        <f>E23-(E24-E25)</f>
        <v>540755.66809329391</v>
      </c>
      <c r="F26" s="17" t="s">
        <v>3</v>
      </c>
      <c r="G26" s="1"/>
    </row>
    <row r="27" spans="1:7" x14ac:dyDescent="0.25">
      <c r="A27" s="1"/>
      <c r="B27" s="54"/>
      <c r="C27" s="55"/>
      <c r="D27" s="55"/>
      <c r="E27" s="55"/>
      <c r="F27" s="2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5" t="s">
        <v>244</v>
      </c>
      <c r="C29" s="116"/>
      <c r="D29" s="116"/>
      <c r="E29" s="116"/>
      <c r="F29" s="117"/>
      <c r="G29" s="1"/>
    </row>
    <row r="30" spans="1:7" x14ac:dyDescent="0.25">
      <c r="A30" s="1"/>
      <c r="B30" s="130" t="s">
        <v>245</v>
      </c>
      <c r="C30" s="131"/>
      <c r="D30" s="132"/>
      <c r="E30" s="46">
        <f>IF(AND(E11&lt;0,E26&gt;0,E34&gt;0,E18=0),0,IF(AND(E26&gt;0,E34&gt;0,E18&lt;0),IF(AND(E26&gt;0,ABS(E12)&gt;ABS(E26),ABS(E18)&gt;ABS(E26)),-(ABS(E18)-ABS(E26)),IF(AND(E26&gt;0,ABS(E12)&gt;ABS(E26),ABS(E18)&lt;ABS(E26)),ABS(E26)-ABS(E18),IF(AND(E26&gt;0,ABS(E12)&lt;ABS(E26)),ABS(E18),0))),IF(AND(E10&lt;0,E11&lt;0,E26&gt;0,ABS(E11)&lt;ABS(E26)),(E17+ABS(E12)),IF(AND(E10&lt;0,E11&lt;0,E26&gt;0,ABS(E11)&gt;ABS(E26),ABS(E18)&gt;ABS(E26)),-(ABS(E18)-ABS(E26)),IF(AND(E10&lt;0,E11&lt;0,E26&gt;0,ABS(E11)&gt;ABS(E26),ABS(E18)&lt;ABS(E26)),ABS(E26)-ABS(E18),IF(AND(E10&gt;0,E11&lt;0,E26&gt;0,E12=0),0,IF(AND(E10&gt;0,E11&lt;0,E26&gt;0,E12&lt;0,ABS(E12)&gt;ABS(E26),ABS(E18)&gt;ABS(E26)),-(ABS(E18)-ABS(E26)),IF(AND(E10&gt;0,E11&lt;0,E26&gt;0,E12&lt;0,ABS(E12)&gt;ABS(E26),ABS(E18)&lt;ABS(E26)),ABS(E26)-ABS(E18),IF(AND(E10&gt;0,E11&lt;0,E26&gt;0,E12&lt;0,ABS(E12)&lt;ABS(E26)),ABS(E18),IF(AND(E11&lt;0,E26&lt;0),E18, IF(AND(E11&gt;0,SUM(E11,E26)&gt;0),0,IF(AND(E11&gt;0,SUM(E11,E26)&lt;0),0))))))))))))</f>
        <v>-1543510.2032585107</v>
      </c>
      <c r="F30" s="17" t="s">
        <v>3</v>
      </c>
      <c r="G30" s="1"/>
    </row>
    <row r="31" spans="1:7" x14ac:dyDescent="0.25">
      <c r="A31" s="1"/>
      <c r="B31" s="115"/>
      <c r="C31" s="116"/>
      <c r="D31" s="116"/>
      <c r="E31" s="116"/>
      <c r="F31" s="117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15" t="s">
        <v>246</v>
      </c>
      <c r="C33" s="116"/>
      <c r="D33" s="116"/>
      <c r="E33" s="116"/>
      <c r="F33" s="117"/>
      <c r="G33" s="1"/>
    </row>
    <row r="34" spans="1:7" x14ac:dyDescent="0.25">
      <c r="A34" s="1"/>
      <c r="B34" s="137" t="s">
        <v>251</v>
      </c>
      <c r="C34" s="138"/>
      <c r="D34" s="139"/>
      <c r="E34" s="9">
        <v>0</v>
      </c>
      <c r="F34" s="14"/>
      <c r="G34" s="1"/>
    </row>
    <row r="35" spans="1:7" x14ac:dyDescent="0.25">
      <c r="A35" s="1"/>
      <c r="B35" s="137" t="s">
        <v>161</v>
      </c>
      <c r="C35" s="138"/>
      <c r="D35" s="139"/>
      <c r="E35" s="9">
        <f>IF(AND(OR(E34=1,E34=3),ABS(E26)&lt;ABS(SUM(E9:E11))),0,IF(AND(OR(E34=1,E34=3),ABS(E26)&gt;ABS(SUM(E9:E11))),SUM(E9:E11,E26),IF(AND(E34=2,ABS(E26)&lt;ABS(SUM(E10:E11))),0,IF(AND(E34=2,ABS(E26)&gt;ABS(SUM(E10:E11))),SUM(E10:E11,E26),IF(AND(E11&lt;0,E26&lt;0),E26,IF(AND(E11&gt;0,SUM(E11,E26)&gt;0),0,IF(AND(E11&gt;0,SUM(E11,E26)&lt;0),SUM(E11,E26),0)))))))</f>
        <v>0</v>
      </c>
      <c r="F35" s="14" t="s">
        <v>3</v>
      </c>
      <c r="G35" s="1"/>
    </row>
    <row r="36" spans="1:7" x14ac:dyDescent="0.25">
      <c r="A36" s="1"/>
      <c r="B36" s="137" t="s">
        <v>110</v>
      </c>
      <c r="C36" s="138"/>
      <c r="D36" s="139"/>
      <c r="E36" s="9">
        <v>4</v>
      </c>
      <c r="F36" s="14" t="s">
        <v>19</v>
      </c>
      <c r="G36" s="1"/>
    </row>
    <row r="37" spans="1:7" x14ac:dyDescent="0.25">
      <c r="A37" s="1"/>
      <c r="B37" s="133" t="s">
        <v>160</v>
      </c>
      <c r="C37" s="133"/>
      <c r="D37" s="133"/>
      <c r="E37" s="10">
        <f>E35/E36</f>
        <v>0</v>
      </c>
      <c r="F37" s="17" t="s">
        <v>3</v>
      </c>
      <c r="G37" s="1"/>
    </row>
    <row r="38" spans="1:7" x14ac:dyDescent="0.25">
      <c r="A38" s="1"/>
      <c r="B38" s="134"/>
      <c r="C38" s="135"/>
      <c r="D38" s="135"/>
      <c r="E38" s="135"/>
      <c r="F38" s="136"/>
      <c r="G38" s="1"/>
    </row>
    <row r="39" spans="1:7" ht="75" customHeight="1" x14ac:dyDescent="0.25">
      <c r="A39" s="1"/>
      <c r="B39" s="91" t="s">
        <v>249</v>
      </c>
      <c r="C39" s="92"/>
      <c r="D39" s="92"/>
      <c r="E39" s="92"/>
      <c r="F39" s="93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cZG/WoO2dhGCdaeo20MFeQVCT0XoAhWXdHeYYzQsAEFSQfVdKzAj691A/xjSkIhaS+Eb8gkojjmkN5VXRImOfA==" saltValue="mJRt9kz86+2Wr00jsyIwXw==" spinCount="100000" sheet="1" objects="1" scenarios="1"/>
  <mergeCells count="21">
    <mergeCell ref="B38:F38"/>
    <mergeCell ref="B39:F39"/>
    <mergeCell ref="B8:F8"/>
    <mergeCell ref="B10:D10"/>
    <mergeCell ref="B11:D11"/>
    <mergeCell ref="B12:D12"/>
    <mergeCell ref="B14:F14"/>
    <mergeCell ref="B16:F16"/>
    <mergeCell ref="B18:D18"/>
    <mergeCell ref="B20:F20"/>
    <mergeCell ref="B31:F31"/>
    <mergeCell ref="B33:F33"/>
    <mergeCell ref="B34:D34"/>
    <mergeCell ref="B35:D35"/>
    <mergeCell ref="B36:D36"/>
    <mergeCell ref="B29:F29"/>
    <mergeCell ref="B30:D30"/>
    <mergeCell ref="B37:D37"/>
    <mergeCell ref="B3:F4"/>
    <mergeCell ref="B17:D17"/>
    <mergeCell ref="B9:D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169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5" t="s">
        <v>157</v>
      </c>
      <c r="C8" s="116"/>
      <c r="D8" s="116"/>
      <c r="E8" s="116"/>
      <c r="F8" s="116"/>
      <c r="G8" s="116"/>
      <c r="H8" s="117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31</v>
      </c>
      <c r="H9" s="57"/>
      <c r="I9" s="1"/>
    </row>
    <row r="10" spans="1:9" x14ac:dyDescent="0.25">
      <c r="A10" s="1"/>
      <c r="B10" s="47" t="s">
        <v>252</v>
      </c>
      <c r="C10" s="48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115" t="s">
        <v>158</v>
      </c>
      <c r="C11" s="116"/>
      <c r="D11" s="117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FNDPV0PVFVaIaOCjKthJtDBXd/Yeq6o/6n45qBWBev2k7XzfN8jqs+ec+sVWs6qWADPfdE6Hy+pz/s3rpFET1g==" saltValue="K8gsiMAZguBjTshofLL5s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168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4" t="s">
        <v>84</v>
      </c>
      <c r="C8" s="55"/>
      <c r="D8" s="55"/>
      <c r="E8" s="55"/>
      <c r="F8" s="20"/>
      <c r="G8" s="1"/>
    </row>
    <row r="9" spans="1:7" ht="17.25" customHeight="1" x14ac:dyDescent="0.25">
      <c r="A9" s="1"/>
      <c r="B9" s="52" t="s">
        <v>16</v>
      </c>
      <c r="C9" s="52" t="s">
        <v>11</v>
      </c>
      <c r="D9" s="53"/>
      <c r="E9" s="52" t="s">
        <v>32</v>
      </c>
      <c r="F9" s="57"/>
      <c r="G9" s="1"/>
    </row>
    <row r="10" spans="1:7" x14ac:dyDescent="0.25">
      <c r="A10" s="1"/>
      <c r="B10" s="25" t="s">
        <v>39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0</v>
      </c>
      <c r="F10" s="14" t="s">
        <v>3</v>
      </c>
      <c r="G10" s="1"/>
    </row>
    <row r="11" spans="1:7" x14ac:dyDescent="0.25">
      <c r="A11" s="1"/>
      <c r="B11" s="37" t="s">
        <v>228</v>
      </c>
      <c r="C11" s="22">
        <v>15028</v>
      </c>
      <c r="D11" s="14" t="s">
        <v>3</v>
      </c>
      <c r="E11" s="9">
        <v>13572</v>
      </c>
      <c r="F11" s="14" t="s">
        <v>3</v>
      </c>
      <c r="G11" s="1"/>
    </row>
    <row r="12" spans="1:7" x14ac:dyDescent="0.25">
      <c r="A12" s="1"/>
      <c r="B12" s="54" t="s">
        <v>136</v>
      </c>
      <c r="C12" s="12">
        <f>SUM(C10:C11)</f>
        <v>15028</v>
      </c>
      <c r="D12" s="13" t="s">
        <v>3</v>
      </c>
      <c r="E12" s="12">
        <f>SUM(E10:E11)</f>
        <v>13572</v>
      </c>
      <c r="F12" s="13" t="s">
        <v>3</v>
      </c>
      <c r="G12" s="1"/>
    </row>
    <row r="13" spans="1:7" x14ac:dyDescent="0.25">
      <c r="A13" s="1"/>
      <c r="B13" s="54" t="s">
        <v>210</v>
      </c>
      <c r="C13" s="12">
        <f>C12*(1+'Fane 12. Nøgletal'!C14)</f>
        <v>15077.592400000001</v>
      </c>
      <c r="D13" s="13" t="s">
        <v>3</v>
      </c>
      <c r="E13" s="12">
        <f>E12*(1+'Fane 12. Nøgletal'!C14)</f>
        <v>13616.787600000001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vc4GldJDO5QMgy2jWX32wF50kmtAUpasviZ0upf+GHsCrgrmqmcpA0bXca+vQhcWIzCbqDHwrqQVQdEoIlNsrw==" saltValue="q8SaAgn0ViNgEkQhUzjk/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167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5" t="s">
        <v>102</v>
      </c>
      <c r="C8" s="116"/>
      <c r="D8" s="116"/>
      <c r="E8" s="116"/>
      <c r="F8" s="117"/>
      <c r="G8" s="1"/>
    </row>
    <row r="9" spans="1:7" x14ac:dyDescent="0.25">
      <c r="A9" s="1"/>
      <c r="B9" s="52" t="s">
        <v>16</v>
      </c>
      <c r="C9" s="52" t="s">
        <v>11</v>
      </c>
      <c r="D9" s="53"/>
      <c r="E9" s="52" t="s">
        <v>32</v>
      </c>
      <c r="F9" s="57"/>
      <c r="G9" s="1"/>
    </row>
    <row r="10" spans="1:7" x14ac:dyDescent="0.25">
      <c r="A10" s="1"/>
      <c r="B10" s="25" t="s">
        <v>229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4" t="s">
        <v>211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104</v>
      </c>
      <c r="C13" s="28">
        <f>-C11*'Fane 12. Nøgletal'!C29</f>
        <v>0</v>
      </c>
      <c r="D13" s="29" t="s">
        <v>3</v>
      </c>
      <c r="E13" s="28">
        <f>-E11*'Fane 12. Nøgletal'!C24</f>
        <v>0</v>
      </c>
      <c r="F13" s="29" t="s">
        <v>3</v>
      </c>
      <c r="G13" s="1"/>
    </row>
    <row r="14" spans="1:7" x14ac:dyDescent="0.25">
      <c r="A14" s="1"/>
      <c r="B14" s="54" t="s">
        <v>137</v>
      </c>
      <c r="C14" s="12">
        <f>SUM(C11:C13)*(1+'Fane 12. Nøgletal'!C14)^2</f>
        <v>0</v>
      </c>
      <c r="D14" s="13" t="s">
        <v>3</v>
      </c>
      <c r="E14" s="12">
        <f>SUM(E11:E13)*(1+'Fane 12.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5" t="s">
        <v>103</v>
      </c>
      <c r="C16" s="116"/>
      <c r="D16" s="116"/>
      <c r="E16" s="116"/>
      <c r="F16" s="117"/>
      <c r="G16" s="1"/>
    </row>
    <row r="17" spans="1:7" x14ac:dyDescent="0.25">
      <c r="A17" s="1"/>
      <c r="B17" s="52" t="s">
        <v>16</v>
      </c>
      <c r="C17" s="52" t="s">
        <v>11</v>
      </c>
      <c r="D17" s="53"/>
      <c r="E17" s="52" t="s">
        <v>32</v>
      </c>
      <c r="F17" s="57"/>
      <c r="G17" s="1"/>
    </row>
    <row r="18" spans="1:7" x14ac:dyDescent="0.25">
      <c r="A18" s="1"/>
      <c r="B18" s="25" t="s">
        <v>229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54" t="s">
        <v>211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104</v>
      </c>
      <c r="C21" s="28">
        <f>-C19*'Fane 12. Nøgletal'!C29</f>
        <v>0</v>
      </c>
      <c r="D21" s="29" t="s">
        <v>3</v>
      </c>
      <c r="E21" s="28">
        <f>-E19*'Fane 12. Nøgletal'!C24</f>
        <v>0</v>
      </c>
      <c r="F21" s="29" t="s">
        <v>3</v>
      </c>
      <c r="G21" s="1"/>
    </row>
    <row r="22" spans="1:7" x14ac:dyDescent="0.25">
      <c r="A22" s="1"/>
      <c r="B22" s="54" t="s">
        <v>144</v>
      </c>
      <c r="C22" s="12">
        <f>SUM(C19:C21)*(1+'Fane 12. Nøgletal'!C14)^3</f>
        <v>0</v>
      </c>
      <c r="D22" s="13" t="s">
        <v>3</v>
      </c>
      <c r="E22" s="12">
        <f>SUM(E19:E21)*(1+'Fane 12.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15" t="s">
        <v>138</v>
      </c>
      <c r="C24" s="116"/>
      <c r="D24" s="116"/>
      <c r="E24" s="116"/>
      <c r="F24" s="117"/>
      <c r="G24" s="1"/>
    </row>
    <row r="25" spans="1:7" x14ac:dyDescent="0.25">
      <c r="A25" s="1"/>
      <c r="B25" s="52" t="s">
        <v>16</v>
      </c>
      <c r="C25" s="52" t="s">
        <v>11</v>
      </c>
      <c r="D25" s="53"/>
      <c r="E25" s="52" t="s">
        <v>32</v>
      </c>
      <c r="F25" s="57"/>
      <c r="G25" s="1"/>
    </row>
    <row r="26" spans="1:7" x14ac:dyDescent="0.25">
      <c r="A26" s="1"/>
      <c r="B26" s="25" t="s">
        <v>229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54" t="s">
        <v>211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104</v>
      </c>
      <c r="C29" s="28">
        <f>-C27*'Fane 12. Nøgletal'!C29</f>
        <v>0</v>
      </c>
      <c r="D29" s="29" t="s">
        <v>3</v>
      </c>
      <c r="E29" s="28">
        <f>-E27*'Fane 12. Nøgletal'!C24</f>
        <v>0</v>
      </c>
      <c r="F29" s="29" t="s">
        <v>3</v>
      </c>
      <c r="G29" s="1"/>
    </row>
    <row r="30" spans="1:7" x14ac:dyDescent="0.25">
      <c r="A30" s="1"/>
      <c r="B30" s="54" t="s">
        <v>145</v>
      </c>
      <c r="C30" s="12">
        <f>SUM(C27:C29)*(1+'Fane 12. Nøgletal'!C14)^4</f>
        <v>0</v>
      </c>
      <c r="D30" s="13" t="s">
        <v>3</v>
      </c>
      <c r="E30" s="12">
        <f>SUM(E27:E29)*(1+'Fane 12.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15" t="s">
        <v>212</v>
      </c>
      <c r="C32" s="116"/>
      <c r="D32" s="116"/>
      <c r="E32" s="116"/>
      <c r="F32" s="117"/>
      <c r="G32" s="1"/>
    </row>
    <row r="33" spans="1:7" x14ac:dyDescent="0.25">
      <c r="A33" s="1"/>
      <c r="B33" s="52" t="s">
        <v>16</v>
      </c>
      <c r="C33" s="52" t="s">
        <v>11</v>
      </c>
      <c r="D33" s="53"/>
      <c r="E33" s="52" t="s">
        <v>32</v>
      </c>
      <c r="F33" s="57"/>
      <c r="G33" s="1"/>
    </row>
    <row r="34" spans="1:7" x14ac:dyDescent="0.25">
      <c r="A34" s="1"/>
      <c r="B34" s="25" t="s">
        <v>229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54" t="s">
        <v>211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104</v>
      </c>
      <c r="C37" s="28">
        <f>-C35*'Fane 12. Nøgletal'!C29</f>
        <v>0</v>
      </c>
      <c r="D37" s="29" t="s">
        <v>3</v>
      </c>
      <c r="E37" s="28">
        <f>-E35*'Fane 12. Nøgletal'!C24</f>
        <v>0</v>
      </c>
      <c r="F37" s="29" t="s">
        <v>3</v>
      </c>
      <c r="G37" s="1"/>
    </row>
    <row r="38" spans="1:7" x14ac:dyDescent="0.25">
      <c r="A38" s="1"/>
      <c r="B38" s="54" t="s">
        <v>213</v>
      </c>
      <c r="C38" s="12">
        <f>SUM(C35:C37)*(1+'Fane 12. Nøgletal'!C14)^5</f>
        <v>0</v>
      </c>
      <c r="D38" s="13" t="s">
        <v>3</v>
      </c>
      <c r="E38" s="12">
        <f>SUM(E35:E37)*(1+'Fane 12.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gwfo6rM5FZe+FXsyNI1Qoc18PD7SZHCz89vE8xTOOEUdmmknnVC+w7HV+OVhAs5xaq5avQMdwzVs3O9TrzPs/g==" saltValue="opfSfS+Mvjptnoxols4Hb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8" t="s">
        <v>166</v>
      </c>
      <c r="C3" s="108"/>
      <c r="D3" s="108"/>
      <c r="E3" s="108"/>
      <c r="F3" s="108"/>
      <c r="G3" s="1"/>
    </row>
    <row r="4" spans="1:7" ht="25.5" customHeight="1" x14ac:dyDescent="0.25">
      <c r="A4" s="1"/>
      <c r="B4" s="108"/>
      <c r="C4" s="108"/>
      <c r="D4" s="108"/>
      <c r="E4" s="108"/>
      <c r="F4" s="10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5" t="s">
        <v>130</v>
      </c>
      <c r="C8" s="116"/>
      <c r="D8" s="116"/>
      <c r="E8" s="116"/>
      <c r="F8" s="117"/>
      <c r="G8" s="1"/>
    </row>
    <row r="9" spans="1:7" ht="15" customHeight="1" x14ac:dyDescent="0.25">
      <c r="A9" s="1"/>
      <c r="B9" s="56" t="s">
        <v>131</v>
      </c>
      <c r="C9" s="100" t="s">
        <v>11</v>
      </c>
      <c r="D9" s="102"/>
      <c r="E9" s="100" t="s">
        <v>32</v>
      </c>
      <c r="F9" s="102"/>
      <c r="G9" s="1"/>
    </row>
    <row r="10" spans="1:7" x14ac:dyDescent="0.25">
      <c r="A10" s="1"/>
      <c r="B10" s="25" t="s">
        <v>227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139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214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AZWot0P7W1TXoR0Uw7fUTF0YtoamKuXsumn+uUVTN77lgJT2M0gjXanrA1HPjjakrSlD6vHvFg1PP2Q5oNeKQA==" saltValue="B+2r2WNpNqfbZn2SkhfTT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8" t="s">
        <v>165</v>
      </c>
      <c r="C3" s="108"/>
      <c r="D3" s="108"/>
      <c r="E3" s="108"/>
      <c r="F3" s="108"/>
      <c r="G3" s="1"/>
    </row>
    <row r="4" spans="1:7" ht="25.5" customHeight="1" x14ac:dyDescent="0.25">
      <c r="A4" s="1"/>
      <c r="B4" s="108"/>
      <c r="C4" s="108"/>
      <c r="D4" s="108"/>
      <c r="E4" s="108"/>
      <c r="F4" s="10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5" t="s">
        <v>98</v>
      </c>
      <c r="C8" s="116"/>
      <c r="D8" s="116"/>
      <c r="E8" s="116"/>
      <c r="F8" s="117"/>
      <c r="G8" s="1"/>
    </row>
    <row r="9" spans="1:7" ht="15" customHeight="1" x14ac:dyDescent="0.25">
      <c r="A9" s="1"/>
      <c r="B9" s="56" t="s">
        <v>17</v>
      </c>
      <c r="C9" s="56" t="s">
        <v>11</v>
      </c>
      <c r="D9" s="57"/>
      <c r="E9" s="56" t="s">
        <v>32</v>
      </c>
      <c r="F9" s="57"/>
      <c r="G9" s="1"/>
    </row>
    <row r="10" spans="1:7" x14ac:dyDescent="0.25">
      <c r="A10" s="1"/>
      <c r="B10" s="25" t="s">
        <v>233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4" t="s">
        <v>93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54" t="s">
        <v>94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15" t="s">
        <v>99</v>
      </c>
      <c r="C15" s="116"/>
      <c r="D15" s="116"/>
      <c r="E15" s="116"/>
      <c r="F15" s="117"/>
      <c r="G15" s="1"/>
    </row>
    <row r="16" spans="1:7" ht="26.25" x14ac:dyDescent="0.25">
      <c r="A16" s="1"/>
      <c r="B16" s="56" t="s">
        <v>17</v>
      </c>
      <c r="C16" s="56" t="s">
        <v>11</v>
      </c>
      <c r="D16" s="57"/>
      <c r="E16" s="56" t="s">
        <v>32</v>
      </c>
      <c r="F16" s="57"/>
      <c r="G16" s="1"/>
    </row>
    <row r="17" spans="1:7" x14ac:dyDescent="0.25">
      <c r="A17" s="1"/>
      <c r="B17" s="25" t="s">
        <v>233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54" t="s">
        <v>93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54" t="s">
        <v>95</v>
      </c>
      <c r="C19" s="12">
        <f>C18*(1+'Fane 12. Nøgletal'!C14)^2</f>
        <v>0</v>
      </c>
      <c r="D19" s="13" t="s">
        <v>3</v>
      </c>
      <c r="E19" s="12">
        <f>E18*(1+'Fane 12. Nøgletal'!C14)^2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15" t="s">
        <v>142</v>
      </c>
      <c r="C22" s="116"/>
      <c r="D22" s="116"/>
      <c r="E22" s="116"/>
      <c r="F22" s="117"/>
      <c r="G22" s="1"/>
    </row>
    <row r="23" spans="1:7" ht="26.25" x14ac:dyDescent="0.25">
      <c r="A23" s="1"/>
      <c r="B23" s="56" t="s">
        <v>17</v>
      </c>
      <c r="C23" s="56" t="s">
        <v>11</v>
      </c>
      <c r="D23" s="57"/>
      <c r="E23" s="56" t="s">
        <v>32</v>
      </c>
      <c r="F23" s="57"/>
      <c r="G23" s="1"/>
    </row>
    <row r="24" spans="1:7" x14ac:dyDescent="0.25">
      <c r="A24" s="1"/>
      <c r="B24" s="25" t="s">
        <v>233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54" t="s">
        <v>93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54" t="s">
        <v>143</v>
      </c>
      <c r="C26" s="12">
        <f>C25*(1+'Fane 12. Nøgletal'!C14)^3</f>
        <v>0</v>
      </c>
      <c r="D26" s="13" t="s">
        <v>3</v>
      </c>
      <c r="E26" s="12">
        <f>E25*(1+'Fane 12. Nøgletal'!C14)^3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5" t="s">
        <v>215</v>
      </c>
      <c r="C29" s="116"/>
      <c r="D29" s="116"/>
      <c r="E29" s="116"/>
      <c r="F29" s="117"/>
      <c r="G29" s="1"/>
    </row>
    <row r="30" spans="1:7" ht="26.25" x14ac:dyDescent="0.25">
      <c r="A30" s="1"/>
      <c r="B30" s="56" t="s">
        <v>17</v>
      </c>
      <c r="C30" s="56" t="s">
        <v>11</v>
      </c>
      <c r="D30" s="57"/>
      <c r="E30" s="56" t="s">
        <v>32</v>
      </c>
      <c r="F30" s="57"/>
      <c r="G30" s="1"/>
    </row>
    <row r="31" spans="1:7" x14ac:dyDescent="0.25">
      <c r="A31" s="1"/>
      <c r="B31" s="25" t="s">
        <v>233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54" t="s">
        <v>93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54" t="s">
        <v>216</v>
      </c>
      <c r="C33" s="12">
        <f>C32*(1+'Fane 12. Nøgletal'!C14)^4</f>
        <v>0</v>
      </c>
      <c r="D33" s="13" t="s">
        <v>3</v>
      </c>
      <c r="E33" s="12">
        <f>E32*(1+'Fane 12. Nøgletal'!C14)^4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Q+COjxXHfj5+sDktmoh2MlSBw982cQuFRruKFRbHZ9sNc70J24B4YjWZSQVbjbPpaDedu4p6xHHe5ZatHyYURA==" saltValue="oJ1r6pNj6w11VgGMI0Kfl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108" t="s">
        <v>164</v>
      </c>
      <c r="C3" s="108"/>
      <c r="D3" s="1"/>
    </row>
    <row r="4" spans="1:4" ht="25.5" customHeight="1" x14ac:dyDescent="0.25">
      <c r="A4" s="1"/>
      <c r="B4" s="108"/>
      <c r="C4" s="108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54" t="s">
        <v>14</v>
      </c>
      <c r="C8" s="20"/>
      <c r="D8" s="1"/>
    </row>
    <row r="9" spans="1:4" x14ac:dyDescent="0.25">
      <c r="A9" s="1"/>
      <c r="B9" s="66" t="s">
        <v>118</v>
      </c>
      <c r="C9" s="26">
        <v>1.2699999999999999E-2</v>
      </c>
      <c r="D9" s="1"/>
    </row>
    <row r="10" spans="1:4" x14ac:dyDescent="0.25">
      <c r="A10" s="1"/>
      <c r="B10" s="66" t="s">
        <v>22</v>
      </c>
      <c r="C10" s="26">
        <v>1.7500000000000002E-2</v>
      </c>
      <c r="D10" s="1"/>
    </row>
    <row r="11" spans="1:4" x14ac:dyDescent="0.25">
      <c r="A11" s="1"/>
      <c r="B11" s="66" t="s">
        <v>119</v>
      </c>
      <c r="C11" s="26">
        <v>1.6899999999999998E-2</v>
      </c>
      <c r="D11" s="1"/>
    </row>
    <row r="12" spans="1:4" x14ac:dyDescent="0.25">
      <c r="A12" s="1"/>
      <c r="B12" s="33" t="s">
        <v>42</v>
      </c>
      <c r="C12" s="34">
        <v>1.9699999999999999E-2</v>
      </c>
      <c r="D12" s="1"/>
    </row>
    <row r="13" spans="1:4" x14ac:dyDescent="0.25">
      <c r="A13" s="1"/>
      <c r="B13" s="33" t="s">
        <v>140</v>
      </c>
      <c r="C13" s="34">
        <v>1.2200000000000001E-2</v>
      </c>
      <c r="D13" s="1"/>
    </row>
    <row r="14" spans="1:4" x14ac:dyDescent="0.25">
      <c r="A14" s="1"/>
      <c r="B14" s="33" t="s">
        <v>217</v>
      </c>
      <c r="C14" s="49">
        <v>3.3E-3</v>
      </c>
      <c r="D14" s="1"/>
    </row>
    <row r="15" spans="1:4" x14ac:dyDescent="0.25">
      <c r="A15" s="1"/>
      <c r="B15" s="115"/>
      <c r="C15" s="117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54" t="s">
        <v>106</v>
      </c>
      <c r="C18" s="20"/>
      <c r="D18" s="1"/>
    </row>
    <row r="19" spans="1:4" x14ac:dyDescent="0.25">
      <c r="A19" s="1"/>
      <c r="B19" s="66" t="s">
        <v>120</v>
      </c>
      <c r="C19" s="23">
        <v>9.1000000000000004E-3</v>
      </c>
      <c r="D19" s="1"/>
    </row>
    <row r="20" spans="1:4" x14ac:dyDescent="0.25">
      <c r="A20" s="1"/>
      <c r="B20" s="66" t="s">
        <v>121</v>
      </c>
      <c r="C20" s="23">
        <v>1.77E-2</v>
      </c>
      <c r="D20" s="1"/>
    </row>
    <row r="21" spans="1:4" x14ac:dyDescent="0.25">
      <c r="A21" s="1"/>
      <c r="B21" s="66" t="s">
        <v>122</v>
      </c>
      <c r="C21" s="23">
        <v>8.6999999999999994E-3</v>
      </c>
      <c r="D21" s="1"/>
    </row>
    <row r="22" spans="1:4" x14ac:dyDescent="0.25">
      <c r="A22" s="1"/>
      <c r="B22" s="66" t="s">
        <v>123</v>
      </c>
      <c r="C22" s="35">
        <v>2.8400000000000002E-2</v>
      </c>
      <c r="D22" s="1"/>
    </row>
    <row r="23" spans="1:4" x14ac:dyDescent="0.25">
      <c r="A23" s="1"/>
      <c r="B23" s="66" t="s">
        <v>146</v>
      </c>
      <c r="C23" s="35">
        <v>2.75E-2</v>
      </c>
      <c r="D23" s="1"/>
    </row>
    <row r="24" spans="1:4" x14ac:dyDescent="0.25">
      <c r="A24" s="1"/>
      <c r="B24" s="66" t="s">
        <v>218</v>
      </c>
      <c r="C24" s="35">
        <v>1.4800000000000001E-2</v>
      </c>
      <c r="D24" s="1"/>
    </row>
    <row r="25" spans="1:4" x14ac:dyDescent="0.25">
      <c r="A25" s="1"/>
      <c r="B25" s="54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54" t="s">
        <v>107</v>
      </c>
      <c r="C28" s="20"/>
      <c r="D28" s="1"/>
    </row>
    <row r="29" spans="1:4" x14ac:dyDescent="0.25">
      <c r="A29" s="1"/>
      <c r="B29" s="66" t="s">
        <v>124</v>
      </c>
      <c r="C29" s="26">
        <v>0.02</v>
      </c>
      <c r="D29" s="1"/>
    </row>
    <row r="30" spans="1:4" x14ac:dyDescent="0.25">
      <c r="A30" s="1"/>
      <c r="B30" s="54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hRElMmrUMUekbRDe8icdYTQRz0mfkAb+SmogloNCUGt+smv7fLzeQxnqJimzOA0soSTIkxfmis8bTmik9UgbqA==" saltValue="toiQ26SeX9kX24mwPgoI4g==" spinCount="100000" sheet="1" objects="1" scenarios="1"/>
  <mergeCells count="2">
    <mergeCell ref="B3:C4"/>
    <mergeCell ref="B15:C15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6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184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4" t="s">
        <v>13</v>
      </c>
      <c r="C8" s="55"/>
      <c r="D8" s="20"/>
      <c r="E8" s="1"/>
    </row>
    <row r="9" spans="1:5" x14ac:dyDescent="0.25">
      <c r="A9" s="1"/>
      <c r="B9" s="59" t="s">
        <v>24</v>
      </c>
      <c r="C9" s="7">
        <f>'Fane 3. Omkostninger i ØR2021'!E20</f>
        <v>26224330.404749878</v>
      </c>
      <c r="D9" s="8" t="s">
        <v>3</v>
      </c>
      <c r="E9" s="1"/>
    </row>
    <row r="10" spans="1:5" x14ac:dyDescent="0.25">
      <c r="A10" s="1"/>
      <c r="B10" s="50" t="s">
        <v>219</v>
      </c>
      <c r="C10" s="7">
        <f>(SUM('Fane 3. Omkostninger i ØR2021'!E10,'Fane 3. Omkostninger i ØR2021'!E12,'Fane 3. Omkostninger i ØR2021'!E14)*(1+'Fane 12. Nøgletal'!C13)*(1-'Fane 12. Nøgletal'!C29-'Fane 5. Individuelt eff. krav'!G10))</f>
        <v>254619.94180845478</v>
      </c>
      <c r="D10" s="8" t="s">
        <v>3</v>
      </c>
      <c r="E10" s="1"/>
    </row>
    <row r="11" spans="1:5" x14ac:dyDescent="0.25">
      <c r="A11" s="1"/>
      <c r="B11" s="50" t="s">
        <v>220</v>
      </c>
      <c r="C11" s="7">
        <f>(SUM('Fane 3. Omkostninger i ØR2021'!E11,'Fane 3. Omkostninger i ØR2021'!E13,'Fane 3. Omkostninger i ØR2021'!E15)*(1+'Fane 12. Nøgletal'!C13)*(1-'Fane 12. Nøgletal'!C23-'Fane 5. Individuelt eff. krav'!G10))</f>
        <v>411146.17144645011</v>
      </c>
      <c r="D11" s="8" t="s">
        <v>3</v>
      </c>
      <c r="E11" s="1"/>
    </row>
    <row r="12" spans="1:5" ht="17.100000000000001" customHeight="1" x14ac:dyDescent="0.25">
      <c r="A12" s="1"/>
      <c r="B12" s="30" t="s">
        <v>40</v>
      </c>
      <c r="C12" s="7">
        <f>'Fane 9.1. Varige tillæg'!C13</f>
        <v>15077.592400000001</v>
      </c>
      <c r="D12" s="8" t="s">
        <v>3</v>
      </c>
      <c r="E12" s="1"/>
    </row>
    <row r="13" spans="1:5" ht="17.100000000000001" customHeight="1" x14ac:dyDescent="0.25">
      <c r="A13" s="1"/>
      <c r="B13" s="30" t="s">
        <v>41</v>
      </c>
      <c r="C13" s="9">
        <f>'Fane 9.1. Varige tillæg'!E13</f>
        <v>13616.787600000001</v>
      </c>
      <c r="D13" s="8" t="s">
        <v>3</v>
      </c>
      <c r="E13" s="1"/>
    </row>
    <row r="14" spans="1:5" ht="17.100000000000001" customHeight="1" x14ac:dyDescent="0.25">
      <c r="A14" s="1"/>
      <c r="B14" s="30" t="s">
        <v>28</v>
      </c>
      <c r="C14" s="9">
        <f>-'Fane 11. Bortfald'!C12</f>
        <v>0</v>
      </c>
      <c r="D14" s="8" t="s">
        <v>3</v>
      </c>
      <c r="E14" s="1"/>
    </row>
    <row r="15" spans="1:5" ht="17.100000000000001" customHeight="1" x14ac:dyDescent="0.25">
      <c r="A15" s="1"/>
      <c r="B15" s="30" t="s">
        <v>27</v>
      </c>
      <c r="C15" s="9">
        <f>-'Fane 11. Bortfald'!E12</f>
        <v>0</v>
      </c>
      <c r="D15" s="8" t="s">
        <v>3</v>
      </c>
      <c r="E15" s="1"/>
    </row>
    <row r="16" spans="1:5" ht="17.100000000000001" customHeight="1" x14ac:dyDescent="0.25">
      <c r="A16" s="1"/>
      <c r="B16" s="30" t="s">
        <v>132</v>
      </c>
      <c r="C16" s="9">
        <f>'Fane 10. Tilknyttet virksomhed'!C12</f>
        <v>0</v>
      </c>
      <c r="D16" s="8" t="s">
        <v>3</v>
      </c>
      <c r="E16" s="1"/>
    </row>
    <row r="17" spans="1:5" ht="17.100000000000001" customHeight="1" x14ac:dyDescent="0.25">
      <c r="A17" s="1"/>
      <c r="B17" s="30" t="s">
        <v>133</v>
      </c>
      <c r="C17" s="9">
        <f>'Fane 10. Tilknyttet virksomhed'!E12</f>
        <v>0</v>
      </c>
      <c r="D17" s="8" t="s">
        <v>3</v>
      </c>
      <c r="E17" s="1"/>
    </row>
    <row r="18" spans="1:5" ht="17.100000000000001" customHeight="1" x14ac:dyDescent="0.25">
      <c r="A18" s="1"/>
      <c r="B18" s="30" t="s">
        <v>18</v>
      </c>
      <c r="C18" s="9">
        <f>C9*'Fane 12. Nøgletal'!C13+SUM(C12:C17)*'Fane 12. Nøgletal'!C14</f>
        <v>320031.52239194856</v>
      </c>
      <c r="D18" s="8" t="s">
        <v>3</v>
      </c>
      <c r="E18" s="1"/>
    </row>
    <row r="19" spans="1:5" ht="17.100000000000001" customHeight="1" x14ac:dyDescent="0.25">
      <c r="A19" s="1"/>
      <c r="B19" s="30" t="s">
        <v>9</v>
      </c>
      <c r="C19" s="9">
        <f>-SUM(C9,C12:C18)*'Fane 5. Individuelt eff. krav'!G10</f>
        <v>-219040.89032561347</v>
      </c>
      <c r="D19" s="8" t="s">
        <v>3</v>
      </c>
      <c r="E19" s="1"/>
    </row>
    <row r="20" spans="1:5" ht="17.100000000000001" customHeight="1" x14ac:dyDescent="0.25">
      <c r="A20" s="1"/>
      <c r="B20" s="30" t="s">
        <v>25</v>
      </c>
      <c r="C20" s="9">
        <f>-'Fane 4.1. Gen. krav - drift'!G38</f>
        <v>-248971.5783289737</v>
      </c>
      <c r="D20" s="8" t="s">
        <v>3</v>
      </c>
      <c r="E20" s="1"/>
    </row>
    <row r="21" spans="1:5" ht="17.100000000000001" customHeight="1" x14ac:dyDescent="0.25">
      <c r="A21" s="1"/>
      <c r="B21" s="30" t="s">
        <v>26</v>
      </c>
      <c r="C21" s="9">
        <f>-'Fane 4.2. Gen. krav - anlæg'!G38</f>
        <v>-418952.23171080439</v>
      </c>
      <c r="D21" s="8" t="s">
        <v>3</v>
      </c>
      <c r="E21" s="1"/>
    </row>
    <row r="22" spans="1:5" ht="17.100000000000001" customHeight="1" x14ac:dyDescent="0.25">
      <c r="A22" s="1"/>
      <c r="B22" s="67" t="s">
        <v>20</v>
      </c>
      <c r="C22" s="10">
        <f>SUM(C9,C12:C21)</f>
        <v>25686091.606776435</v>
      </c>
      <c r="D22" s="11" t="s">
        <v>3</v>
      </c>
      <c r="E22" s="1"/>
    </row>
    <row r="23" spans="1:5" ht="15" customHeight="1" x14ac:dyDescent="0.25">
      <c r="A23" s="1"/>
      <c r="B23" s="54" t="s">
        <v>12</v>
      </c>
      <c r="C23" s="55"/>
      <c r="D23" s="20"/>
      <c r="E23" s="1"/>
    </row>
    <row r="24" spans="1:5" ht="15" customHeight="1" x14ac:dyDescent="0.25">
      <c r="A24" s="1"/>
      <c r="B24" s="56" t="s">
        <v>12</v>
      </c>
      <c r="C24" s="10">
        <f>'Fane 6. Ikke-påvirkelige omk.'!C14</f>
        <v>14677720.535629252</v>
      </c>
      <c r="D24" s="11" t="s">
        <v>3</v>
      </c>
      <c r="E24" s="1"/>
    </row>
    <row r="25" spans="1:5" ht="15" customHeight="1" x14ac:dyDescent="0.25">
      <c r="A25" s="1"/>
      <c r="B25" s="54" t="s">
        <v>89</v>
      </c>
      <c r="C25" s="55"/>
      <c r="D25" s="20"/>
      <c r="E25" s="1"/>
    </row>
    <row r="26" spans="1:5" ht="15" customHeight="1" x14ac:dyDescent="0.25">
      <c r="A26" s="1"/>
      <c r="B26" s="30" t="s">
        <v>85</v>
      </c>
      <c r="C26" s="9">
        <f>'Fane 9.2. Engangstillæg'!C14</f>
        <v>0</v>
      </c>
      <c r="D26" s="8" t="s">
        <v>3</v>
      </c>
      <c r="E26" s="1"/>
    </row>
    <row r="27" spans="1:5" ht="15" customHeight="1" x14ac:dyDescent="0.25">
      <c r="A27" s="1"/>
      <c r="B27" s="30" t="s">
        <v>86</v>
      </c>
      <c r="C27" s="9">
        <f>'Fane 9.2. Engangstillæg'!E14</f>
        <v>0</v>
      </c>
      <c r="D27" s="8" t="s">
        <v>3</v>
      </c>
      <c r="E27" s="1"/>
    </row>
    <row r="28" spans="1:5" x14ac:dyDescent="0.25">
      <c r="A28" s="1"/>
      <c r="B28" s="67" t="s">
        <v>90</v>
      </c>
      <c r="C28" s="10">
        <f>SUM(C26:C27)</f>
        <v>0</v>
      </c>
      <c r="D28" s="11" t="s">
        <v>3</v>
      </c>
      <c r="E28" s="1"/>
    </row>
    <row r="29" spans="1:5" ht="15" customHeight="1" x14ac:dyDescent="0.25">
      <c r="A29" s="1"/>
      <c r="B29" s="36" t="s">
        <v>161</v>
      </c>
      <c r="C29" s="55"/>
      <c r="D29" s="20"/>
      <c r="E29" s="1"/>
    </row>
    <row r="30" spans="1:5" x14ac:dyDescent="0.25">
      <c r="A30" s="1"/>
      <c r="B30" s="70" t="s">
        <v>162</v>
      </c>
      <c r="C30" s="10">
        <f>'Fane 7. Kontrol af ØR2020'!E30</f>
        <v>-1543510.2032585107</v>
      </c>
      <c r="D30" s="11" t="s">
        <v>3</v>
      </c>
      <c r="E30" s="1"/>
    </row>
    <row r="31" spans="1:5" x14ac:dyDescent="0.25">
      <c r="A31" s="1"/>
      <c r="B31" s="36" t="s">
        <v>225</v>
      </c>
      <c r="C31" s="55"/>
      <c r="D31" s="20"/>
      <c r="E31" s="1"/>
    </row>
    <row r="32" spans="1:5" x14ac:dyDescent="0.25">
      <c r="A32" s="1"/>
      <c r="B32" s="70" t="s">
        <v>226</v>
      </c>
      <c r="C32" s="10">
        <v>0</v>
      </c>
      <c r="D32" s="11" t="s">
        <v>3</v>
      </c>
      <c r="E32" s="1"/>
    </row>
    <row r="33" spans="1:5" x14ac:dyDescent="0.25">
      <c r="A33" s="1"/>
      <c r="B33" s="54" t="s">
        <v>30</v>
      </c>
      <c r="C33" s="31">
        <f>SUM(C22,C24,C28,C30,C32)</f>
        <v>38820301.939147174</v>
      </c>
      <c r="D33" s="20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</sheetData>
  <sheetProtection algorithmName="SHA-512" hashValue="edcONvG14NKs/3/6+4SHoUkkdf3BFChllhtsYFV1nLEOpq/mnkwU4Rj6Hm9jzqlCQbtGps/YnFbgVH97GbQwrQ==" saltValue="p4UbaEBjOBJ/lbJYrrgVW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185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4" t="s">
        <v>13</v>
      </c>
      <c r="C8" s="55"/>
      <c r="D8" s="20"/>
      <c r="E8" s="1"/>
    </row>
    <row r="9" spans="1:5" ht="15" customHeight="1" x14ac:dyDescent="0.25">
      <c r="A9" s="1"/>
      <c r="B9" s="59" t="s">
        <v>134</v>
      </c>
      <c r="C9" s="7">
        <f>'Fane 2.1. Økonomisk ramme 2022'!C22</f>
        <v>25686091.606776435</v>
      </c>
      <c r="D9" s="8" t="s">
        <v>3</v>
      </c>
      <c r="E9" s="1"/>
    </row>
    <row r="10" spans="1:5" ht="15" customHeight="1" x14ac:dyDescent="0.25">
      <c r="A10" s="1"/>
      <c r="B10" s="30" t="s">
        <v>28</v>
      </c>
      <c r="C10" s="7">
        <f>-'Fane 11. Bortfald'!C19</f>
        <v>0</v>
      </c>
      <c r="D10" s="8" t="s">
        <v>3</v>
      </c>
      <c r="E10" s="1"/>
    </row>
    <row r="11" spans="1:5" ht="15" customHeight="1" x14ac:dyDescent="0.25">
      <c r="A11" s="1"/>
      <c r="B11" s="30" t="s">
        <v>27</v>
      </c>
      <c r="C11" s="7">
        <f>-'Fane 11. Bortfald'!E19</f>
        <v>0</v>
      </c>
      <c r="D11" s="8" t="s">
        <v>3</v>
      </c>
      <c r="E11" s="1"/>
    </row>
    <row r="12" spans="1:5" ht="15" customHeight="1" x14ac:dyDescent="0.25">
      <c r="A12" s="1"/>
      <c r="B12" s="50" t="s">
        <v>18</v>
      </c>
      <c r="C12" s="9">
        <f>SUM(C9:C11)*'Fane 12. Nøgletal'!C14</f>
        <v>84764.10230236224</v>
      </c>
      <c r="D12" s="8" t="s">
        <v>3</v>
      </c>
      <c r="E12" s="1"/>
    </row>
    <row r="13" spans="1:5" ht="15" customHeight="1" x14ac:dyDescent="0.25">
      <c r="A13" s="1"/>
      <c r="B13" s="50" t="s">
        <v>9</v>
      </c>
      <c r="C13" s="9">
        <f>-SUM(C9:C12)*'Fane 5. Individuelt eff. krav'!G10</f>
        <v>-212428.37533341665</v>
      </c>
      <c r="D13" s="8" t="s">
        <v>3</v>
      </c>
      <c r="E13" s="1"/>
    </row>
    <row r="14" spans="1:5" ht="15" customHeight="1" x14ac:dyDescent="0.25">
      <c r="A14" s="1"/>
      <c r="B14" s="50" t="s">
        <v>25</v>
      </c>
      <c r="C14" s="9">
        <f>-'Fane 4.1. Gen. krav - drift'!G44</f>
        <v>-244797.32084671012</v>
      </c>
      <c r="D14" s="8" t="s">
        <v>3</v>
      </c>
      <c r="E14" s="1"/>
    </row>
    <row r="15" spans="1:5" ht="15" customHeight="1" x14ac:dyDescent="0.25">
      <c r="A15" s="1"/>
      <c r="B15" s="50" t="s">
        <v>26</v>
      </c>
      <c r="C15" s="9">
        <f>-'Fane 4.2. Gen. krav - anlæg'!G44</f>
        <v>-220089.26307827132</v>
      </c>
      <c r="D15" s="8" t="s">
        <v>3</v>
      </c>
      <c r="E15" s="1"/>
    </row>
    <row r="16" spans="1:5" ht="15" customHeight="1" x14ac:dyDescent="0.25">
      <c r="A16" s="1"/>
      <c r="B16" s="51" t="s">
        <v>20</v>
      </c>
      <c r="C16" s="10">
        <f>SUM(C9:C15)</f>
        <v>25093540.749820396</v>
      </c>
      <c r="D16" s="11" t="s">
        <v>3</v>
      </c>
      <c r="E16" s="1"/>
    </row>
    <row r="17" spans="1:5" x14ac:dyDescent="0.25">
      <c r="A17" s="1"/>
      <c r="B17" s="54" t="s">
        <v>12</v>
      </c>
      <c r="C17" s="55"/>
      <c r="D17" s="20"/>
      <c r="E17" s="1"/>
    </row>
    <row r="18" spans="1:5" ht="15" customHeight="1" x14ac:dyDescent="0.25">
      <c r="A18" s="1"/>
      <c r="B18" s="56" t="s">
        <v>12</v>
      </c>
      <c r="C18" s="10">
        <f>'Fane 6. Ikke-påvirkelige omk.'!C14*(1+'Fane 12. Nøgletal'!C14)</f>
        <v>14726157.013396829</v>
      </c>
      <c r="D18" s="11" t="s">
        <v>3</v>
      </c>
      <c r="E18" s="1"/>
    </row>
    <row r="19" spans="1:5" ht="15" customHeight="1" x14ac:dyDescent="0.25">
      <c r="A19" s="1"/>
      <c r="B19" s="54" t="s">
        <v>89</v>
      </c>
      <c r="C19" s="55"/>
      <c r="D19" s="20"/>
      <c r="E19" s="1"/>
    </row>
    <row r="20" spans="1:5" ht="15" customHeight="1" x14ac:dyDescent="0.25">
      <c r="A20" s="1"/>
      <c r="B20" s="30" t="s">
        <v>85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25">
      <c r="A21" s="1"/>
      <c r="B21" s="30" t="s">
        <v>86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25">
      <c r="A22" s="1"/>
      <c r="B22" s="67" t="s">
        <v>90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6" t="s">
        <v>161</v>
      </c>
      <c r="C23" s="55"/>
      <c r="D23" s="20"/>
      <c r="E23" s="1"/>
    </row>
    <row r="24" spans="1:5" ht="15" customHeight="1" x14ac:dyDescent="0.25">
      <c r="A24" s="1"/>
      <c r="B24" s="70" t="s">
        <v>162</v>
      </c>
      <c r="C24" s="10">
        <f>'Fane 7. Kontrol af ØR2020'!E37</f>
        <v>0</v>
      </c>
      <c r="D24" s="11" t="s">
        <v>3</v>
      </c>
      <c r="E24" s="1"/>
    </row>
    <row r="25" spans="1:5" x14ac:dyDescent="0.25">
      <c r="A25" s="1"/>
      <c r="B25" s="36" t="s">
        <v>225</v>
      </c>
      <c r="C25" s="55"/>
      <c r="D25" s="20"/>
      <c r="E25" s="1"/>
    </row>
    <row r="26" spans="1:5" x14ac:dyDescent="0.25">
      <c r="A26" s="1"/>
      <c r="B26" s="70" t="s">
        <v>226</v>
      </c>
      <c r="C26" s="10">
        <v>0</v>
      </c>
      <c r="D26" s="11" t="s">
        <v>3</v>
      </c>
      <c r="E26" s="1"/>
    </row>
    <row r="27" spans="1:5" x14ac:dyDescent="0.25">
      <c r="A27" s="1"/>
      <c r="B27" s="54" t="s">
        <v>97</v>
      </c>
      <c r="C27" s="12">
        <f>SUM(C16,C18,C22,C24,C26)</f>
        <v>39819697.763217226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jvbRwtzAUuk/PLe61pQ+ehevenQgKKbyCNId792I4fUiZnJH7v6Eie/bL4OMqVB3DUvJhD7hF2rf6A/s+F3Cyg==" saltValue="DbR+1N/gbinqxwsMgdByf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186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4" t="s">
        <v>13</v>
      </c>
      <c r="C7" s="55"/>
      <c r="D7" s="20"/>
      <c r="E7" s="1"/>
    </row>
    <row r="8" spans="1:5" ht="15" customHeight="1" x14ac:dyDescent="0.25">
      <c r="A8" s="1"/>
      <c r="B8" s="59" t="s">
        <v>135</v>
      </c>
      <c r="C8" s="7">
        <f>'Fane 2.2. Økonomisk ramme 2023'!C16</f>
        <v>25093540.749820396</v>
      </c>
      <c r="D8" s="8" t="s">
        <v>3</v>
      </c>
      <c r="E8" s="1"/>
    </row>
    <row r="9" spans="1:5" ht="15" customHeight="1" x14ac:dyDescent="0.25">
      <c r="A9" s="1"/>
      <c r="B9" s="59" t="s">
        <v>28</v>
      </c>
      <c r="C9" s="7">
        <f>-'Fane 11. Bortfald'!C26</f>
        <v>0</v>
      </c>
      <c r="D9" s="8" t="s">
        <v>3</v>
      </c>
      <c r="E9" s="1"/>
    </row>
    <row r="10" spans="1:5" ht="15" customHeight="1" x14ac:dyDescent="0.25">
      <c r="A10" s="1"/>
      <c r="B10" s="59" t="s">
        <v>27</v>
      </c>
      <c r="C10" s="7">
        <f>-'Fane 11. Bortfald'!E26</f>
        <v>0</v>
      </c>
      <c r="D10" s="8" t="s">
        <v>3</v>
      </c>
      <c r="E10" s="1"/>
    </row>
    <row r="11" spans="1:5" ht="15" customHeight="1" x14ac:dyDescent="0.25">
      <c r="A11" s="1"/>
      <c r="B11" s="50" t="s">
        <v>18</v>
      </c>
      <c r="C11" s="9">
        <f>SUM(C8:C10)*'Fane 12. Nøgletal'!C14</f>
        <v>82808.684474407302</v>
      </c>
      <c r="D11" s="8" t="s">
        <v>3</v>
      </c>
      <c r="E11" s="1"/>
    </row>
    <row r="12" spans="1:5" ht="15" customHeight="1" x14ac:dyDescent="0.25">
      <c r="A12" s="1"/>
      <c r="B12" s="50" t="s">
        <v>9</v>
      </c>
      <c r="C12" s="9">
        <f>-SUM(C8:C11)*'Fane 5. Individuelt eff. krav'!G10</f>
        <v>-207527.87829507445</v>
      </c>
      <c r="D12" s="8" t="s">
        <v>3</v>
      </c>
      <c r="E12" s="1"/>
    </row>
    <row r="13" spans="1:5" ht="15" customHeight="1" x14ac:dyDescent="0.25">
      <c r="A13" s="1"/>
      <c r="B13" s="50" t="s">
        <v>25</v>
      </c>
      <c r="C13" s="9">
        <f>-'Fane 4.1. Gen. krav - drift'!G50</f>
        <v>-240693.04896539421</v>
      </c>
      <c r="D13" s="8" t="s">
        <v>3</v>
      </c>
      <c r="E13" s="1"/>
    </row>
    <row r="14" spans="1:5" ht="15" customHeight="1" x14ac:dyDescent="0.25">
      <c r="A14" s="1"/>
      <c r="B14" s="50" t="s">
        <v>26</v>
      </c>
      <c r="C14" s="43">
        <f>-'Fane 4.2. Gen. krav - anlæg'!G50</f>
        <v>-217547.48739326248</v>
      </c>
      <c r="D14" s="8" t="s">
        <v>3</v>
      </c>
      <c r="E14" s="1"/>
    </row>
    <row r="15" spans="1:5" x14ac:dyDescent="0.25">
      <c r="A15" s="1"/>
      <c r="B15" s="51" t="s">
        <v>20</v>
      </c>
      <c r="C15" s="10">
        <f>SUM(C8:C14)</f>
        <v>24510581.019641072</v>
      </c>
      <c r="D15" s="11" t="s">
        <v>3</v>
      </c>
      <c r="E15" s="1"/>
    </row>
    <row r="16" spans="1:5" x14ac:dyDescent="0.25">
      <c r="A16" s="1"/>
      <c r="B16" s="54" t="s">
        <v>12</v>
      </c>
      <c r="C16" s="55"/>
      <c r="D16" s="20"/>
      <c r="E16" s="1"/>
    </row>
    <row r="17" spans="1:5" ht="15" customHeight="1" x14ac:dyDescent="0.25">
      <c r="A17" s="1"/>
      <c r="B17" s="56" t="s">
        <v>12</v>
      </c>
      <c r="C17" s="10">
        <f>'Fane 6. Ikke-påvirkelige omk.'!C14*(1+'Fane 12. Nøgletal'!C14)^2</f>
        <v>14774753.331541041</v>
      </c>
      <c r="D17" s="11" t="s">
        <v>3</v>
      </c>
      <c r="E17" s="1"/>
    </row>
    <row r="18" spans="1:5" ht="15" customHeight="1" x14ac:dyDescent="0.25">
      <c r="A18" s="1"/>
      <c r="B18" s="54" t="s">
        <v>89</v>
      </c>
      <c r="C18" s="55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25">
      <c r="A21" s="1"/>
      <c r="B21" s="67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4" t="s">
        <v>161</v>
      </c>
      <c r="C22" s="55"/>
      <c r="D22" s="20"/>
      <c r="E22" s="1"/>
    </row>
    <row r="23" spans="1:5" x14ac:dyDescent="0.25">
      <c r="A23" s="1"/>
      <c r="B23" s="56" t="s">
        <v>162</v>
      </c>
      <c r="C23" s="10">
        <f>'Fane 7. Kontrol af ØR2020'!E37</f>
        <v>0</v>
      </c>
      <c r="D23" s="11" t="s">
        <v>3</v>
      </c>
      <c r="E23" s="1"/>
    </row>
    <row r="24" spans="1:5" ht="15" customHeight="1" x14ac:dyDescent="0.25">
      <c r="A24" s="1"/>
      <c r="B24" s="36" t="s">
        <v>225</v>
      </c>
      <c r="C24" s="55"/>
      <c r="D24" s="20"/>
      <c r="E24" s="1"/>
    </row>
    <row r="25" spans="1:5" ht="15" customHeight="1" x14ac:dyDescent="0.25">
      <c r="A25" s="1"/>
      <c r="B25" s="70" t="s">
        <v>226</v>
      </c>
      <c r="C25" s="10">
        <v>0</v>
      </c>
      <c r="D25" s="11" t="s">
        <v>3</v>
      </c>
      <c r="E25" s="1"/>
    </row>
    <row r="26" spans="1:5" x14ac:dyDescent="0.25">
      <c r="A26" s="1"/>
      <c r="B26" s="54" t="s">
        <v>187</v>
      </c>
      <c r="C26" s="12">
        <f>SUM(C15,C17,C21,C23,C25)</f>
        <v>39285334.351182111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GXXLpnqm4QmGDN6v9clZvEwGVHMeHhKzLulYXJjNDqSWgLXlkzSt/PFmJqk88Nr25ZziXHkL+1h0vptJoBUB8Q==" saltValue="RzAVVBU+6TJCZjeAjWck/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188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4" t="s">
        <v>13</v>
      </c>
      <c r="C7" s="55"/>
      <c r="D7" s="20"/>
      <c r="E7" s="1"/>
    </row>
    <row r="8" spans="1:5" ht="15" customHeight="1" x14ac:dyDescent="0.25">
      <c r="A8" s="1"/>
      <c r="B8" s="59" t="s">
        <v>189</v>
      </c>
      <c r="C8" s="7">
        <f>'Fane 2.3. Økonomisk ramme 2024'!C15</f>
        <v>24510581.019641072</v>
      </c>
      <c r="D8" s="8" t="s">
        <v>3</v>
      </c>
      <c r="E8" s="1"/>
    </row>
    <row r="9" spans="1:5" ht="15" customHeight="1" x14ac:dyDescent="0.25">
      <c r="A9" s="1"/>
      <c r="B9" s="59" t="s">
        <v>28</v>
      </c>
      <c r="C9" s="7">
        <f>-'Fane 11. Bortfald'!C33</f>
        <v>0</v>
      </c>
      <c r="D9" s="8" t="s">
        <v>3</v>
      </c>
      <c r="E9" s="1"/>
    </row>
    <row r="10" spans="1:5" ht="15" customHeight="1" x14ac:dyDescent="0.25">
      <c r="A10" s="1"/>
      <c r="B10" s="59" t="s">
        <v>27</v>
      </c>
      <c r="C10" s="7">
        <f>-'Fane 11. Bortfald'!E33</f>
        <v>0</v>
      </c>
      <c r="D10" s="8" t="s">
        <v>3</v>
      </c>
      <c r="E10" s="1"/>
    </row>
    <row r="11" spans="1:5" ht="15" customHeight="1" x14ac:dyDescent="0.25">
      <c r="A11" s="1"/>
      <c r="B11" s="50" t="s">
        <v>18</v>
      </c>
      <c r="C11" s="9">
        <f>SUM(C8:C10)*'Fane 12. Nøgletal'!C14</f>
        <v>80884.917364815541</v>
      </c>
      <c r="D11" s="8" t="s">
        <v>3</v>
      </c>
      <c r="E11" s="1"/>
    </row>
    <row r="12" spans="1:5" ht="15" customHeight="1" x14ac:dyDescent="0.25">
      <c r="A12" s="1"/>
      <c r="B12" s="50" t="s">
        <v>9</v>
      </c>
      <c r="C12" s="9">
        <f>-SUM(C8:C11)*'Fane 5. Individuelt eff. krav'!G10</f>
        <v>-202706.70151728351</v>
      </c>
      <c r="D12" s="8" t="s">
        <v>3</v>
      </c>
      <c r="E12" s="1"/>
    </row>
    <row r="13" spans="1:5" ht="15" customHeight="1" x14ac:dyDescent="0.25">
      <c r="A13" s="1"/>
      <c r="B13" s="50" t="s">
        <v>25</v>
      </c>
      <c r="C13" s="9">
        <f>-'Fane 4.1. Gen. krav - drift'!G56</f>
        <v>-236657.58930644044</v>
      </c>
      <c r="D13" s="8" t="s">
        <v>3</v>
      </c>
      <c r="E13" s="1"/>
    </row>
    <row r="14" spans="1:5" ht="15" customHeight="1" x14ac:dyDescent="0.25">
      <c r="A14" s="1"/>
      <c r="B14" s="50" t="s">
        <v>26</v>
      </c>
      <c r="C14" s="9">
        <f>-'Fane 4.2. Gen. krav - anlæg'!G56</f>
        <v>-215035.06626895571</v>
      </c>
      <c r="D14" s="8" t="s">
        <v>3</v>
      </c>
      <c r="E14" s="1"/>
    </row>
    <row r="15" spans="1:5" x14ac:dyDescent="0.25">
      <c r="A15" s="1"/>
      <c r="B15" s="51" t="s">
        <v>20</v>
      </c>
      <c r="C15" s="10">
        <f>SUM(C8:C14)</f>
        <v>23937066.57991321</v>
      </c>
      <c r="D15" s="11" t="s">
        <v>3</v>
      </c>
      <c r="E15" s="1"/>
    </row>
    <row r="16" spans="1:5" x14ac:dyDescent="0.25">
      <c r="A16" s="1"/>
      <c r="B16" s="54" t="s">
        <v>12</v>
      </c>
      <c r="C16" s="55"/>
      <c r="D16" s="20"/>
      <c r="E16" s="1"/>
    </row>
    <row r="17" spans="1:5" ht="15" customHeight="1" x14ac:dyDescent="0.25">
      <c r="A17" s="1"/>
      <c r="B17" s="56" t="s">
        <v>12</v>
      </c>
      <c r="C17" s="10">
        <f>'Fane 6. Ikke-påvirkelige omk.'!C14*(1+'Fane 12. Nøgletal'!C14)^3</f>
        <v>14823510.017535128</v>
      </c>
      <c r="D17" s="11" t="s">
        <v>3</v>
      </c>
      <c r="E17" s="1"/>
    </row>
    <row r="18" spans="1:5" ht="15" customHeight="1" x14ac:dyDescent="0.25">
      <c r="A18" s="1"/>
      <c r="B18" s="54" t="s">
        <v>89</v>
      </c>
      <c r="C18" s="55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25">
      <c r="A21" s="1"/>
      <c r="B21" s="67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4" t="s">
        <v>161</v>
      </c>
      <c r="C22" s="55"/>
      <c r="D22" s="20"/>
      <c r="E22" s="1"/>
    </row>
    <row r="23" spans="1:5" x14ac:dyDescent="0.25">
      <c r="A23" s="1"/>
      <c r="B23" s="56" t="s">
        <v>162</v>
      </c>
      <c r="C23" s="10">
        <f>'Fane 7. Kontrol af ØR2020'!E37</f>
        <v>0</v>
      </c>
      <c r="D23" s="11" t="s">
        <v>3</v>
      </c>
      <c r="E23" s="1"/>
    </row>
    <row r="24" spans="1:5" x14ac:dyDescent="0.25">
      <c r="A24" s="1"/>
      <c r="B24" s="36" t="s">
        <v>225</v>
      </c>
      <c r="C24" s="55"/>
      <c r="D24" s="20"/>
      <c r="E24" s="1"/>
    </row>
    <row r="25" spans="1:5" x14ac:dyDescent="0.25">
      <c r="A25" s="1"/>
      <c r="B25" s="70" t="s">
        <v>226</v>
      </c>
      <c r="C25" s="10">
        <v>0</v>
      </c>
      <c r="D25" s="11" t="s">
        <v>3</v>
      </c>
      <c r="E25" s="1"/>
    </row>
    <row r="26" spans="1:5" x14ac:dyDescent="0.25">
      <c r="A26" s="1"/>
      <c r="B26" s="54" t="s">
        <v>190</v>
      </c>
      <c r="C26" s="12">
        <f>SUM(C15,C17,C21,C23,C25)</f>
        <v>38760576.597448334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KcESy5cNSRQE45LhQDi7puz/XuNIUHsm6VtRwJSz7xGS9ftfGxy6Hcc4x1WieGshTqAsGbx9eWv6GwKAqUKR2g==" saltValue="hOuRF7i0OEKQGR8rknFtH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8" t="s">
        <v>191</v>
      </c>
      <c r="C3" s="108"/>
      <c r="D3" s="108"/>
      <c r="E3" s="108"/>
      <c r="F3" s="108"/>
      <c r="G3" s="1"/>
    </row>
    <row r="4" spans="1:7" ht="29.25" customHeight="1" x14ac:dyDescent="0.25">
      <c r="A4" s="1"/>
      <c r="B4" s="108"/>
      <c r="C4" s="108"/>
      <c r="D4" s="108"/>
      <c r="E4" s="108"/>
      <c r="F4" s="10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4" t="s">
        <v>224</v>
      </c>
      <c r="C8" s="55"/>
      <c r="D8" s="55"/>
      <c r="E8" s="55"/>
      <c r="F8" s="20"/>
      <c r="G8" s="1"/>
    </row>
    <row r="9" spans="1:7" x14ac:dyDescent="0.25">
      <c r="A9" s="1"/>
      <c r="B9" s="109" t="s">
        <v>23</v>
      </c>
      <c r="C9" s="110"/>
      <c r="D9" s="111"/>
      <c r="E9" s="7">
        <v>26116966.006473094</v>
      </c>
      <c r="F9" s="8" t="s">
        <v>3</v>
      </c>
      <c r="G9" s="1"/>
    </row>
    <row r="10" spans="1:7" ht="15" customHeight="1" x14ac:dyDescent="0.25">
      <c r="A10" s="1"/>
      <c r="B10" s="94" t="s">
        <v>40</v>
      </c>
      <c r="C10" s="95"/>
      <c r="D10" s="96"/>
      <c r="E10" s="9">
        <v>258862.05239999999</v>
      </c>
      <c r="F10" s="8" t="s">
        <v>3</v>
      </c>
      <c r="G10" s="1"/>
    </row>
    <row r="11" spans="1:7" ht="15" customHeight="1" x14ac:dyDescent="0.25">
      <c r="A11" s="1"/>
      <c r="B11" s="94" t="s">
        <v>41</v>
      </c>
      <c r="C11" s="95"/>
      <c r="D11" s="96"/>
      <c r="E11" s="9">
        <v>421247.27399999998</v>
      </c>
      <c r="F11" s="8" t="s">
        <v>3</v>
      </c>
      <c r="G11" s="1"/>
    </row>
    <row r="12" spans="1:7" x14ac:dyDescent="0.25">
      <c r="A12" s="1"/>
      <c r="B12" s="94" t="s">
        <v>28</v>
      </c>
      <c r="C12" s="95"/>
      <c r="D12" s="96"/>
      <c r="E12" s="9">
        <v>0</v>
      </c>
      <c r="F12" s="8" t="s">
        <v>3</v>
      </c>
      <c r="G12" s="1"/>
    </row>
    <row r="13" spans="1:7" x14ac:dyDescent="0.25">
      <c r="A13" s="1"/>
      <c r="B13" s="94" t="s">
        <v>27</v>
      </c>
      <c r="C13" s="95"/>
      <c r="D13" s="96"/>
      <c r="E13" s="9">
        <v>0</v>
      </c>
      <c r="F13" s="8" t="s">
        <v>3</v>
      </c>
      <c r="G13" s="1"/>
    </row>
    <row r="14" spans="1:7" x14ac:dyDescent="0.25">
      <c r="A14" s="1"/>
      <c r="B14" s="94" t="s">
        <v>132</v>
      </c>
      <c r="C14" s="95"/>
      <c r="D14" s="96"/>
      <c r="E14" s="9">
        <v>0</v>
      </c>
      <c r="F14" s="8" t="s">
        <v>3</v>
      </c>
      <c r="G14" s="1"/>
    </row>
    <row r="15" spans="1:7" x14ac:dyDescent="0.25">
      <c r="A15" s="1"/>
      <c r="B15" s="94" t="s">
        <v>133</v>
      </c>
      <c r="C15" s="95"/>
      <c r="D15" s="96"/>
      <c r="E15" s="9">
        <v>0</v>
      </c>
      <c r="F15" s="8" t="s">
        <v>3</v>
      </c>
      <c r="G15" s="1"/>
    </row>
    <row r="16" spans="1:7" x14ac:dyDescent="0.25">
      <c r="A16" s="1"/>
      <c r="B16" s="94" t="s">
        <v>18</v>
      </c>
      <c r="C16" s="95"/>
      <c r="D16" s="96"/>
      <c r="E16" s="9">
        <v>326924.31906105176</v>
      </c>
      <c r="F16" s="8" t="s">
        <v>3</v>
      </c>
      <c r="G16" s="1"/>
    </row>
    <row r="17" spans="1:7" x14ac:dyDescent="0.25">
      <c r="A17" s="1"/>
      <c r="B17" s="94" t="s">
        <v>9</v>
      </c>
      <c r="C17" s="95"/>
      <c r="D17" s="96"/>
      <c r="E17" s="9">
        <v>-223582.29946453316</v>
      </c>
      <c r="F17" s="8" t="s">
        <v>3</v>
      </c>
      <c r="G17" s="1"/>
    </row>
    <row r="18" spans="1:7" x14ac:dyDescent="0.25">
      <c r="A18" s="1"/>
      <c r="B18" s="94" t="s">
        <v>25</v>
      </c>
      <c r="C18" s="95"/>
      <c r="D18" s="96"/>
      <c r="E18" s="9">
        <v>-250685.54589102266</v>
      </c>
      <c r="F18" s="8" t="s">
        <v>3</v>
      </c>
      <c r="G18" s="1"/>
    </row>
    <row r="19" spans="1:7" x14ac:dyDescent="0.25">
      <c r="A19" s="1"/>
      <c r="B19" s="94" t="s">
        <v>26</v>
      </c>
      <c r="C19" s="95"/>
      <c r="D19" s="96"/>
      <c r="E19" s="9">
        <v>-425401.4018287108</v>
      </c>
      <c r="F19" s="8" t="s">
        <v>3</v>
      </c>
      <c r="G19" s="1"/>
    </row>
    <row r="20" spans="1:7" x14ac:dyDescent="0.25">
      <c r="A20" s="1"/>
      <c r="B20" s="97" t="s">
        <v>20</v>
      </c>
      <c r="C20" s="98"/>
      <c r="D20" s="99"/>
      <c r="E20" s="10">
        <f>SUM(E9:E19)</f>
        <v>26224330.404749878</v>
      </c>
      <c r="F20" s="11" t="s">
        <v>3</v>
      </c>
      <c r="G20" s="1"/>
    </row>
    <row r="21" spans="1:7" x14ac:dyDescent="0.25">
      <c r="A21" s="1"/>
      <c r="B21" s="54" t="s">
        <v>12</v>
      </c>
      <c r="C21" s="55"/>
      <c r="D21" s="55"/>
      <c r="E21" s="55"/>
      <c r="F21" s="20"/>
      <c r="G21" s="1"/>
    </row>
    <row r="22" spans="1:7" x14ac:dyDescent="0.25">
      <c r="A22" s="1"/>
      <c r="B22" s="105" t="s">
        <v>12</v>
      </c>
      <c r="C22" s="106"/>
      <c r="D22" s="107"/>
      <c r="E22" s="10">
        <v>17192961.255881879</v>
      </c>
      <c r="F22" s="11" t="s">
        <v>3</v>
      </c>
      <c r="G22" s="1"/>
    </row>
    <row r="23" spans="1:7" ht="15" customHeight="1" x14ac:dyDescent="0.25">
      <c r="A23" s="1"/>
      <c r="B23" s="103" t="s">
        <v>89</v>
      </c>
      <c r="C23" s="104"/>
      <c r="D23" s="104"/>
      <c r="E23" s="55"/>
      <c r="F23" s="55"/>
      <c r="G23" s="1"/>
    </row>
    <row r="24" spans="1:7" ht="14.25" customHeight="1" x14ac:dyDescent="0.25">
      <c r="A24" s="1"/>
      <c r="B24" s="91" t="s">
        <v>85</v>
      </c>
      <c r="C24" s="92"/>
      <c r="D24" s="93"/>
      <c r="E24" s="9">
        <v>0</v>
      </c>
      <c r="F24" s="8" t="s">
        <v>3</v>
      </c>
      <c r="G24" s="1"/>
    </row>
    <row r="25" spans="1:7" ht="14.25" customHeight="1" x14ac:dyDescent="0.25">
      <c r="A25" s="1"/>
      <c r="B25" s="91" t="s">
        <v>86</v>
      </c>
      <c r="C25" s="92"/>
      <c r="D25" s="93"/>
      <c r="E25" s="9">
        <v>0</v>
      </c>
      <c r="F25" s="8" t="s">
        <v>3</v>
      </c>
      <c r="G25" s="1"/>
    </row>
    <row r="26" spans="1:7" x14ac:dyDescent="0.25">
      <c r="A26" s="1"/>
      <c r="B26" s="100" t="s">
        <v>90</v>
      </c>
      <c r="C26" s="101"/>
      <c r="D26" s="101"/>
      <c r="E26" s="10">
        <v>0</v>
      </c>
      <c r="F26" s="11" t="s">
        <v>3</v>
      </c>
      <c r="G26" s="1"/>
    </row>
    <row r="27" spans="1:7" x14ac:dyDescent="0.25">
      <c r="A27" s="1"/>
      <c r="B27" s="54" t="s">
        <v>161</v>
      </c>
      <c r="C27" s="55"/>
      <c r="D27" s="55"/>
      <c r="E27" s="55"/>
      <c r="F27" s="20"/>
      <c r="G27" s="1"/>
    </row>
    <row r="28" spans="1:7" ht="15" customHeight="1" x14ac:dyDescent="0.25">
      <c r="A28" s="1"/>
      <c r="B28" s="100" t="s">
        <v>162</v>
      </c>
      <c r="C28" s="101"/>
      <c r="D28" s="102"/>
      <c r="E28" s="10">
        <v>-1861588.0206118934</v>
      </c>
      <c r="F28" s="11" t="s">
        <v>3</v>
      </c>
      <c r="G28" s="1"/>
    </row>
    <row r="29" spans="1:7" x14ac:dyDescent="0.25">
      <c r="A29" s="1"/>
      <c r="B29" s="54" t="s">
        <v>247</v>
      </c>
      <c r="C29" s="55"/>
      <c r="D29" s="55"/>
      <c r="E29" s="55"/>
      <c r="F29" s="20"/>
      <c r="G29" s="1"/>
    </row>
    <row r="30" spans="1:7" ht="15.6" customHeight="1" x14ac:dyDescent="0.25">
      <c r="A30" s="1"/>
      <c r="B30" s="105" t="s">
        <v>248</v>
      </c>
      <c r="C30" s="106"/>
      <c r="D30" s="107"/>
      <c r="E30" s="10">
        <v>0</v>
      </c>
      <c r="F30" s="11" t="s">
        <v>3</v>
      </c>
      <c r="G30" s="1"/>
    </row>
    <row r="31" spans="1:7" x14ac:dyDescent="0.25">
      <c r="A31" s="1"/>
      <c r="B31" s="54" t="s">
        <v>29</v>
      </c>
      <c r="C31" s="55"/>
      <c r="D31" s="55"/>
      <c r="E31" s="12">
        <f>E20+E22+E26+E28+E30</f>
        <v>41555703.640019864</v>
      </c>
      <c r="F31" s="13" t="s">
        <v>3</v>
      </c>
      <c r="G31" s="1"/>
    </row>
    <row r="32" spans="1:7" ht="27.75" customHeight="1" x14ac:dyDescent="0.25">
      <c r="A32" s="1"/>
      <c r="B32" s="91" t="s">
        <v>192</v>
      </c>
      <c r="C32" s="92"/>
      <c r="D32" s="92"/>
      <c r="E32" s="92"/>
      <c r="F32" s="93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Ls3y7qkXHDkcXtprCBWRLYLUDhtkPDMLrziibVeaIva7hkzqOdkiJtb4xk8tjh7U9+OXEdCiEZMmZzcxqRXqWQ==" saltValue="/TvkfqRICOQeE17R5NB5SQ==" spinCount="100000" sheet="1" objects="1" scenarios="1"/>
  <mergeCells count="21">
    <mergeCell ref="B13:D13"/>
    <mergeCell ref="B14:D14"/>
    <mergeCell ref="B15:D15"/>
    <mergeCell ref="B22:D22"/>
    <mergeCell ref="B3:F4"/>
    <mergeCell ref="B9:D9"/>
    <mergeCell ref="B10:D10"/>
    <mergeCell ref="B11:D11"/>
    <mergeCell ref="B12:D12"/>
    <mergeCell ref="B32:F32"/>
    <mergeCell ref="B16:D16"/>
    <mergeCell ref="B17:D17"/>
    <mergeCell ref="B18:D18"/>
    <mergeCell ref="B19:D19"/>
    <mergeCell ref="B20:D20"/>
    <mergeCell ref="B28:D28"/>
    <mergeCell ref="B23:D23"/>
    <mergeCell ref="B24:D24"/>
    <mergeCell ref="B25:D25"/>
    <mergeCell ref="B26:D26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7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7.425781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108" t="s">
        <v>115</v>
      </c>
      <c r="C1" s="108"/>
      <c r="D1" s="108"/>
      <c r="E1" s="108"/>
      <c r="F1" s="108"/>
      <c r="G1" s="108"/>
      <c r="H1" s="108"/>
      <c r="I1" s="1"/>
    </row>
    <row r="2" spans="1:9" ht="15" customHeight="1" x14ac:dyDescent="0.25">
      <c r="A2" s="1"/>
      <c r="B2" s="108"/>
      <c r="C2" s="108"/>
      <c r="D2" s="108"/>
      <c r="E2" s="108"/>
      <c r="F2" s="108"/>
      <c r="G2" s="108"/>
      <c r="H2" s="108"/>
      <c r="I2" s="1"/>
    </row>
    <row r="3" spans="1:9" ht="15" customHeight="1" x14ac:dyDescent="0.25">
      <c r="A3" s="1"/>
      <c r="B3" s="108"/>
      <c r="C3" s="108"/>
      <c r="D3" s="108"/>
      <c r="E3" s="108"/>
      <c r="F3" s="108"/>
      <c r="G3" s="108"/>
      <c r="H3" s="108"/>
      <c r="I3" s="1"/>
    </row>
    <row r="4" spans="1:9" x14ac:dyDescent="0.25">
      <c r="A4" s="1"/>
      <c r="B4" s="115" t="s">
        <v>54</v>
      </c>
      <c r="C4" s="116"/>
      <c r="D4" s="116"/>
      <c r="E4" s="116"/>
      <c r="F4" s="116"/>
      <c r="G4" s="116"/>
      <c r="H4" s="117"/>
      <c r="I4" s="1"/>
    </row>
    <row r="5" spans="1:9" x14ac:dyDescent="0.25">
      <c r="A5" s="1"/>
      <c r="B5" s="112" t="s">
        <v>43</v>
      </c>
      <c r="C5" s="113"/>
      <c r="D5" s="113"/>
      <c r="E5" s="113"/>
      <c r="F5" s="114"/>
      <c r="G5" s="24">
        <v>12552103.323939804</v>
      </c>
      <c r="H5" s="14" t="s">
        <v>3</v>
      </c>
      <c r="I5" s="1"/>
    </row>
    <row r="6" spans="1:9" x14ac:dyDescent="0.25">
      <c r="A6" s="1"/>
      <c r="B6" s="112" t="s">
        <v>44</v>
      </c>
      <c r="C6" s="113"/>
      <c r="D6" s="113"/>
      <c r="E6" s="113"/>
      <c r="F6" s="114"/>
      <c r="G6" s="24">
        <f>G5*'Fane 12. Nøgletal'!C29</f>
        <v>251042.06647879607</v>
      </c>
      <c r="H6" s="14" t="s">
        <v>3</v>
      </c>
      <c r="I6" s="1"/>
    </row>
    <row r="7" spans="1:9" x14ac:dyDescent="0.25">
      <c r="A7" s="1"/>
      <c r="B7" s="54"/>
      <c r="C7" s="55"/>
      <c r="D7" s="55"/>
      <c r="E7" s="55"/>
      <c r="F7" s="55"/>
      <c r="G7" s="55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5" t="s">
        <v>55</v>
      </c>
      <c r="C9" s="116"/>
      <c r="D9" s="116"/>
      <c r="E9" s="116"/>
      <c r="F9" s="116"/>
      <c r="G9" s="116"/>
      <c r="H9" s="117"/>
      <c r="I9" s="1"/>
    </row>
    <row r="10" spans="1:9" x14ac:dyDescent="0.25">
      <c r="A10" s="1"/>
      <c r="B10" s="112" t="s">
        <v>45</v>
      </c>
      <c r="C10" s="113"/>
      <c r="D10" s="113"/>
      <c r="E10" s="113"/>
      <c r="F10" s="114"/>
      <c r="G10" s="24">
        <f>(G5-G6)*(1+'Fane 12. Nøgletal'!C9)</f>
        <v>12457284.735430762</v>
      </c>
      <c r="H10" s="14" t="s">
        <v>3</v>
      </c>
      <c r="I10" s="1"/>
    </row>
    <row r="11" spans="1:9" x14ac:dyDescent="0.25">
      <c r="A11" s="1"/>
      <c r="B11" s="118" t="s">
        <v>46</v>
      </c>
      <c r="C11" s="119"/>
      <c r="D11" s="119"/>
      <c r="E11" s="119"/>
      <c r="F11" s="120"/>
      <c r="G11" s="24">
        <v>0</v>
      </c>
      <c r="H11" s="14" t="s">
        <v>3</v>
      </c>
      <c r="I11" s="1"/>
    </row>
    <row r="12" spans="1:9" x14ac:dyDescent="0.25">
      <c r="A12" s="1"/>
      <c r="B12" s="112" t="s">
        <v>47</v>
      </c>
      <c r="C12" s="113"/>
      <c r="D12" s="113"/>
      <c r="E12" s="113"/>
      <c r="F12" s="114"/>
      <c r="G12" s="24">
        <f>(G10+G11)*'Fane 12. Nøgletal'!C29</f>
        <v>249145.69470861525</v>
      </c>
      <c r="H12" s="14" t="s">
        <v>3</v>
      </c>
      <c r="I12" s="1"/>
    </row>
    <row r="13" spans="1:9" x14ac:dyDescent="0.25">
      <c r="A13" s="1"/>
      <c r="B13" s="54"/>
      <c r="C13" s="55"/>
      <c r="D13" s="55"/>
      <c r="E13" s="55"/>
      <c r="F13" s="55"/>
      <c r="G13" s="55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5" t="s">
        <v>56</v>
      </c>
      <c r="C15" s="116"/>
      <c r="D15" s="116"/>
      <c r="E15" s="116"/>
      <c r="F15" s="116"/>
      <c r="G15" s="116"/>
      <c r="H15" s="117"/>
      <c r="I15" s="1"/>
    </row>
    <row r="16" spans="1:9" x14ac:dyDescent="0.25">
      <c r="A16" s="1"/>
      <c r="B16" s="112" t="s">
        <v>48</v>
      </c>
      <c r="C16" s="113"/>
      <c r="D16" s="113"/>
      <c r="E16" s="113"/>
      <c r="F16" s="114"/>
      <c r="G16" s="24">
        <f>(G10+G11-G12)*(1+'Fane 12. Nøgletal'!C11)</f>
        <v>12414456.59051035</v>
      </c>
      <c r="H16" s="14" t="s">
        <v>3</v>
      </c>
      <c r="I16" s="1"/>
    </row>
    <row r="17" spans="1:9" x14ac:dyDescent="0.25">
      <c r="A17" s="1"/>
      <c r="B17" s="112" t="s">
        <v>125</v>
      </c>
      <c r="C17" s="113"/>
      <c r="D17" s="113"/>
      <c r="E17" s="113"/>
      <c r="F17" s="114"/>
      <c r="G17" s="24">
        <v>0</v>
      </c>
      <c r="H17" s="14" t="s">
        <v>3</v>
      </c>
      <c r="I17" s="1"/>
    </row>
    <row r="18" spans="1:9" x14ac:dyDescent="0.25">
      <c r="A18" s="1"/>
      <c r="B18" s="118" t="s">
        <v>49</v>
      </c>
      <c r="C18" s="119"/>
      <c r="D18" s="119"/>
      <c r="E18" s="119"/>
      <c r="F18" s="120"/>
      <c r="G18" s="24">
        <v>0</v>
      </c>
      <c r="H18" s="14" t="s">
        <v>3</v>
      </c>
      <c r="I18" s="1"/>
    </row>
    <row r="19" spans="1:9" x14ac:dyDescent="0.25">
      <c r="A19" s="1"/>
      <c r="B19" s="112" t="s">
        <v>50</v>
      </c>
      <c r="C19" s="113"/>
      <c r="D19" s="113"/>
      <c r="E19" s="113"/>
      <c r="F19" s="114"/>
      <c r="G19" s="24">
        <f>SUM(G16:G18)*'Fane 12. Nøgletal'!C29</f>
        <v>248289.13181020701</v>
      </c>
      <c r="H19" s="14" t="s">
        <v>3</v>
      </c>
      <c r="I19" s="1"/>
    </row>
    <row r="20" spans="1:9" x14ac:dyDescent="0.25">
      <c r="A20" s="1"/>
      <c r="B20" s="54"/>
      <c r="C20" s="55"/>
      <c r="D20" s="55"/>
      <c r="E20" s="55"/>
      <c r="F20" s="55"/>
      <c r="G20" s="55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5" t="s">
        <v>57</v>
      </c>
      <c r="C22" s="116"/>
      <c r="D22" s="116"/>
      <c r="E22" s="116"/>
      <c r="F22" s="116"/>
      <c r="G22" s="116"/>
      <c r="H22" s="117"/>
      <c r="I22" s="1"/>
    </row>
    <row r="23" spans="1:9" x14ac:dyDescent="0.25">
      <c r="A23" s="1"/>
      <c r="B23" s="112" t="s">
        <v>51</v>
      </c>
      <c r="C23" s="113"/>
      <c r="D23" s="113"/>
      <c r="E23" s="113"/>
      <c r="F23" s="114"/>
      <c r="G23" s="24">
        <f>(SUM(G16:G18)-G19)*(1+'Fane 12. Nøgletal'!C11)</f>
        <v>12371775.688752174</v>
      </c>
      <c r="H23" s="14" t="s">
        <v>3</v>
      </c>
      <c r="I23" s="1"/>
    </row>
    <row r="24" spans="1:9" x14ac:dyDescent="0.25">
      <c r="A24" s="1"/>
      <c r="B24" s="118" t="s">
        <v>52</v>
      </c>
      <c r="C24" s="119"/>
      <c r="D24" s="119"/>
      <c r="E24" s="119"/>
      <c r="F24" s="120"/>
      <c r="G24" s="24">
        <v>0</v>
      </c>
      <c r="H24" s="14" t="s">
        <v>3</v>
      </c>
      <c r="I24" s="1"/>
    </row>
    <row r="25" spans="1:9" x14ac:dyDescent="0.25">
      <c r="A25" s="1"/>
      <c r="B25" s="112" t="s">
        <v>53</v>
      </c>
      <c r="C25" s="113"/>
      <c r="D25" s="113"/>
      <c r="E25" s="113"/>
      <c r="F25" s="114"/>
      <c r="G25" s="24">
        <f>(G23+G24)*'Fane 12. Nøgletal'!C29</f>
        <v>247435.51377504348</v>
      </c>
      <c r="H25" s="14" t="s">
        <v>3</v>
      </c>
      <c r="I25" s="1"/>
    </row>
    <row r="26" spans="1:9" x14ac:dyDescent="0.25">
      <c r="A26" s="1"/>
      <c r="B26" s="54"/>
      <c r="C26" s="55"/>
      <c r="D26" s="55"/>
      <c r="E26" s="55"/>
      <c r="F26" s="55"/>
      <c r="G26" s="55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5" t="s">
        <v>175</v>
      </c>
      <c r="C28" s="116"/>
      <c r="D28" s="116"/>
      <c r="E28" s="116"/>
      <c r="F28" s="116"/>
      <c r="G28" s="116"/>
      <c r="H28" s="117"/>
      <c r="I28" s="1"/>
    </row>
    <row r="29" spans="1:9" x14ac:dyDescent="0.25">
      <c r="A29" s="1"/>
      <c r="B29" s="112" t="s">
        <v>60</v>
      </c>
      <c r="C29" s="113"/>
      <c r="D29" s="113"/>
      <c r="E29" s="113"/>
      <c r="F29" s="114"/>
      <c r="G29" s="24">
        <f>(G23+G24-G25)*(1+'Fane 12. Nøgletal'!C13)</f>
        <v>12272257.125111852</v>
      </c>
      <c r="H29" s="14" t="s">
        <v>3</v>
      </c>
      <c r="I29" s="1"/>
    </row>
    <row r="30" spans="1:9" x14ac:dyDescent="0.25">
      <c r="A30" s="1"/>
      <c r="B30" s="112" t="s">
        <v>147</v>
      </c>
      <c r="C30" s="113"/>
      <c r="D30" s="113"/>
      <c r="E30" s="113"/>
      <c r="F30" s="114"/>
      <c r="G30" s="24">
        <f>SUM('Fane 3. Omkostninger i ØR2021'!E10,'Fane 3. Omkostninger i ØR2021'!E12,'Fane 3. Omkostninger i ØR2021'!E14)*(1+'Fane 12. Nøgletal'!C13)</f>
        <v>262020.16943927997</v>
      </c>
      <c r="H30" s="14" t="s">
        <v>3</v>
      </c>
      <c r="I30" s="1"/>
    </row>
    <row r="31" spans="1:9" x14ac:dyDescent="0.25">
      <c r="A31" s="1"/>
      <c r="B31" s="112" t="s">
        <v>159</v>
      </c>
      <c r="C31" s="113"/>
      <c r="D31" s="113"/>
      <c r="E31" s="113"/>
      <c r="F31" s="114"/>
      <c r="G31" s="24">
        <f>(G29+G30)*'Fane 12. Nøgletal'!C29</f>
        <v>250685.54589102266</v>
      </c>
      <c r="H31" s="14" t="s">
        <v>3</v>
      </c>
      <c r="I31" s="1"/>
    </row>
    <row r="32" spans="1:9" x14ac:dyDescent="0.25">
      <c r="A32" s="1"/>
      <c r="B32" s="54"/>
      <c r="C32" s="55"/>
      <c r="D32" s="55"/>
      <c r="E32" s="55"/>
      <c r="F32" s="55"/>
      <c r="G32" s="55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5" t="s">
        <v>176</v>
      </c>
      <c r="C34" s="116"/>
      <c r="D34" s="116"/>
      <c r="E34" s="116"/>
      <c r="F34" s="116"/>
      <c r="G34" s="116"/>
      <c r="H34" s="117"/>
      <c r="I34" s="1"/>
    </row>
    <row r="35" spans="1:9" x14ac:dyDescent="0.25">
      <c r="A35" s="1"/>
      <c r="B35" s="112" t="s">
        <v>80</v>
      </c>
      <c r="C35" s="113"/>
      <c r="D35" s="113"/>
      <c r="E35" s="113"/>
      <c r="F35" s="114"/>
      <c r="G35" s="24">
        <f>(G29+G30-G31)*(1+'Fane 12. Nøgletal'!C13)</f>
        <v>12433451.567993764</v>
      </c>
      <c r="H35" s="14" t="s">
        <v>3</v>
      </c>
      <c r="I35" s="1"/>
    </row>
    <row r="36" spans="1:9" x14ac:dyDescent="0.25">
      <c r="A36" s="1"/>
      <c r="B36" s="37" t="s">
        <v>193</v>
      </c>
      <c r="C36" s="61"/>
      <c r="D36" s="61"/>
      <c r="E36" s="61"/>
      <c r="F36" s="62"/>
      <c r="G36" s="24">
        <f>SUM('Fane 2.1. Økonomisk ramme 2022'!C10)*(1+'Fane 12. Nøgletal'!C14)</f>
        <v>255460.18761642271</v>
      </c>
      <c r="H36" s="14" t="s">
        <v>3</v>
      </c>
      <c r="I36" s="1"/>
    </row>
    <row r="37" spans="1:9" x14ac:dyDescent="0.25">
      <c r="A37" s="1"/>
      <c r="B37" s="112" t="s">
        <v>222</v>
      </c>
      <c r="C37" s="113"/>
      <c r="D37" s="113"/>
      <c r="E37" s="113"/>
      <c r="F37" s="114"/>
      <c r="G37" s="24">
        <f>SUM('Fane 2.1. Økonomisk ramme 2022'!C12,'Fane 2.1. Økonomisk ramme 2022'!C14,'Fane 2.1. Økonomisk ramme 2022'!C16)*(1+'Fane 12. Nøgletal'!C14)</f>
        <v>15127.348454920002</v>
      </c>
      <c r="H37" s="14" t="s">
        <v>3</v>
      </c>
      <c r="I37" s="1"/>
    </row>
    <row r="38" spans="1:9" x14ac:dyDescent="0.25">
      <c r="A38" s="1"/>
      <c r="B38" s="112" t="s">
        <v>177</v>
      </c>
      <c r="C38" s="113"/>
      <c r="D38" s="113"/>
      <c r="E38" s="113"/>
      <c r="F38" s="114"/>
      <c r="G38" s="24">
        <f>(G35+G37)*'Fane 12. Nøgletal'!C29</f>
        <v>248971.5783289737</v>
      </c>
      <c r="H38" s="14" t="s">
        <v>3</v>
      </c>
      <c r="I38" s="1"/>
    </row>
    <row r="39" spans="1:9" x14ac:dyDescent="0.25">
      <c r="A39" s="1"/>
      <c r="B39" s="54"/>
      <c r="C39" s="55"/>
      <c r="D39" s="55"/>
      <c r="E39" s="55"/>
      <c r="F39" s="55"/>
      <c r="G39" s="55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5" t="s">
        <v>81</v>
      </c>
      <c r="C41" s="116"/>
      <c r="D41" s="116"/>
      <c r="E41" s="116"/>
      <c r="F41" s="116"/>
      <c r="G41" s="116"/>
      <c r="H41" s="117"/>
      <c r="I41" s="1"/>
    </row>
    <row r="42" spans="1:9" x14ac:dyDescent="0.25">
      <c r="A42" s="1"/>
      <c r="B42" s="112" t="s">
        <v>79</v>
      </c>
      <c r="C42" s="113"/>
      <c r="D42" s="113"/>
      <c r="E42" s="113"/>
      <c r="F42" s="114"/>
      <c r="G42" s="24">
        <f>(G35+G37-G38)*(1+'Fane 12. Nøgletal'!C14)</f>
        <v>12239866.042335507</v>
      </c>
      <c r="H42" s="14" t="s">
        <v>3</v>
      </c>
      <c r="I42" s="1"/>
    </row>
    <row r="43" spans="1:9" x14ac:dyDescent="0.25">
      <c r="A43" s="1"/>
      <c r="B43" s="112" t="s">
        <v>92</v>
      </c>
      <c r="C43" s="113"/>
      <c r="D43" s="113"/>
      <c r="E43" s="113"/>
      <c r="F43" s="114"/>
      <c r="G43" s="24">
        <f>-'Fane 11. Bortfald'!C19*(1+'Fane 12. Nøgletal'!C14)</f>
        <v>0</v>
      </c>
      <c r="H43" s="14" t="s">
        <v>3</v>
      </c>
      <c r="I43" s="1"/>
    </row>
    <row r="44" spans="1:9" x14ac:dyDescent="0.25">
      <c r="A44" s="1"/>
      <c r="B44" s="112" t="s">
        <v>61</v>
      </c>
      <c r="C44" s="113"/>
      <c r="D44" s="113"/>
      <c r="E44" s="113"/>
      <c r="F44" s="114"/>
      <c r="G44" s="24">
        <f>(G42+G43)*'Fane 12. Nøgletal'!C29</f>
        <v>244797.32084671012</v>
      </c>
      <c r="H44" s="14" t="s">
        <v>3</v>
      </c>
      <c r="I44" s="1"/>
    </row>
    <row r="45" spans="1:9" x14ac:dyDescent="0.25">
      <c r="A45" s="1"/>
      <c r="B45" s="54"/>
      <c r="C45" s="55"/>
      <c r="D45" s="55"/>
      <c r="E45" s="55"/>
      <c r="F45" s="55"/>
      <c r="G45" s="55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5" t="s">
        <v>148</v>
      </c>
      <c r="C47" s="116"/>
      <c r="D47" s="116"/>
      <c r="E47" s="116"/>
      <c r="F47" s="116"/>
      <c r="G47" s="116"/>
      <c r="H47" s="117"/>
      <c r="I47" s="1"/>
    </row>
    <row r="48" spans="1:9" x14ac:dyDescent="0.25">
      <c r="A48" s="1"/>
      <c r="B48" s="112" t="s">
        <v>149</v>
      </c>
      <c r="C48" s="113"/>
      <c r="D48" s="113"/>
      <c r="E48" s="113"/>
      <c r="F48" s="114"/>
      <c r="G48" s="24">
        <f>(G42+G43-G44)*(1+'Fane 12. Nøgletal'!C14)</f>
        <v>12034652.44826971</v>
      </c>
      <c r="H48" s="14" t="s">
        <v>3</v>
      </c>
      <c r="I48" s="1"/>
    </row>
    <row r="49" spans="1:9" x14ac:dyDescent="0.25">
      <c r="A49" s="1"/>
      <c r="B49" s="112" t="s">
        <v>150</v>
      </c>
      <c r="C49" s="113"/>
      <c r="D49" s="113"/>
      <c r="E49" s="113"/>
      <c r="F49" s="114"/>
      <c r="G49" s="24">
        <f>-'Fane 11. Bortfald'!C26*(1+'Fane 12. Nøgletal'!C14)</f>
        <v>0</v>
      </c>
      <c r="H49" s="14" t="s">
        <v>3</v>
      </c>
      <c r="I49" s="1"/>
    </row>
    <row r="50" spans="1:9" x14ac:dyDescent="0.25">
      <c r="A50" s="1"/>
      <c r="B50" s="112" t="s">
        <v>151</v>
      </c>
      <c r="C50" s="113"/>
      <c r="D50" s="113"/>
      <c r="E50" s="113"/>
      <c r="F50" s="114"/>
      <c r="G50" s="24">
        <f>(G48+G49)*'Fane 12. Nøgletal'!C29</f>
        <v>240693.04896539421</v>
      </c>
      <c r="H50" s="14" t="s">
        <v>3</v>
      </c>
      <c r="I50" s="1"/>
    </row>
    <row r="51" spans="1:9" x14ac:dyDescent="0.25">
      <c r="A51" s="1"/>
      <c r="B51" s="54"/>
      <c r="C51" s="55"/>
      <c r="D51" s="55"/>
      <c r="E51" s="55"/>
      <c r="F51" s="55"/>
      <c r="G51" s="55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5" t="s">
        <v>199</v>
      </c>
      <c r="C53" s="116"/>
      <c r="D53" s="116"/>
      <c r="E53" s="116"/>
      <c r="F53" s="116"/>
      <c r="G53" s="116"/>
      <c r="H53" s="117"/>
      <c r="I53" s="1"/>
    </row>
    <row r="54" spans="1:9" x14ac:dyDescent="0.25">
      <c r="A54" s="1"/>
      <c r="B54" s="112" t="s">
        <v>200</v>
      </c>
      <c r="C54" s="113"/>
      <c r="D54" s="113"/>
      <c r="E54" s="113"/>
      <c r="F54" s="114"/>
      <c r="G54" s="24">
        <f>(G48+G49-G50)*(1+'Fane 12. Nøgletal'!C14)</f>
        <v>11832879.465322021</v>
      </c>
      <c r="H54" s="14" t="s">
        <v>3</v>
      </c>
      <c r="I54" s="1"/>
    </row>
    <row r="55" spans="1:9" x14ac:dyDescent="0.25">
      <c r="A55" s="1"/>
      <c r="B55" s="112" t="s">
        <v>201</v>
      </c>
      <c r="C55" s="113"/>
      <c r="D55" s="113"/>
      <c r="E55" s="113"/>
      <c r="F55" s="114"/>
      <c r="G55" s="24">
        <f>-'Fane 11. Bortfald'!C33*(1+'Fane 12. Nøgletal'!C14)</f>
        <v>0</v>
      </c>
      <c r="H55" s="14" t="s">
        <v>3</v>
      </c>
      <c r="I55" s="1"/>
    </row>
    <row r="56" spans="1:9" x14ac:dyDescent="0.25">
      <c r="A56" s="1"/>
      <c r="B56" s="112" t="s">
        <v>202</v>
      </c>
      <c r="C56" s="113"/>
      <c r="D56" s="113"/>
      <c r="E56" s="113"/>
      <c r="F56" s="114"/>
      <c r="G56" s="24">
        <f>(G54+G55)*'Fane 12. Nøgletal'!C29</f>
        <v>236657.58930644044</v>
      </c>
      <c r="H56" s="14" t="s">
        <v>3</v>
      </c>
      <c r="I56" s="1"/>
    </row>
    <row r="57" spans="1:9" x14ac:dyDescent="0.25">
      <c r="A57" s="1"/>
      <c r="B57" s="54"/>
      <c r="C57" s="55"/>
      <c r="D57" s="55"/>
      <c r="E57" s="55"/>
      <c r="F57" s="55"/>
      <c r="G57" s="55"/>
      <c r="H57" s="20"/>
      <c r="I57" s="1"/>
    </row>
  </sheetData>
  <sheetProtection algorithmName="SHA-512" hashValue="C38sC2ANjJxf1vnm6476M0P8XjbmUHrUjkR+dp0RYCj1Iuc9eKwxVG46JyoyQWZsXoiD5Jf4oWBBaTfh/nG/Mg==" saltValue="Z9/7k5r4SXVL7VswqUYxkw==" spinCount="100000" sheet="1" objects="1" scenarios="1"/>
  <mergeCells count="37">
    <mergeCell ref="B53:H53"/>
    <mergeCell ref="B54:F54"/>
    <mergeCell ref="B55:F55"/>
    <mergeCell ref="B56:F56"/>
    <mergeCell ref="B28:H28"/>
    <mergeCell ref="B29:F29"/>
    <mergeCell ref="B34:H34"/>
    <mergeCell ref="B38:F38"/>
    <mergeCell ref="B47:H47"/>
    <mergeCell ref="B48:F48"/>
    <mergeCell ref="B49:F49"/>
    <mergeCell ref="B50:F50"/>
    <mergeCell ref="B41:H41"/>
    <mergeCell ref="B42:F42"/>
    <mergeCell ref="B44:F44"/>
    <mergeCell ref="B37:F37"/>
    <mergeCell ref="B25:F25"/>
    <mergeCell ref="B35:F35"/>
    <mergeCell ref="B30:F30"/>
    <mergeCell ref="B31:F31"/>
    <mergeCell ref="B22:H22"/>
    <mergeCell ref="B43:F43"/>
    <mergeCell ref="B15:H15"/>
    <mergeCell ref="B1:H3"/>
    <mergeCell ref="B4:H4"/>
    <mergeCell ref="B5:F5"/>
    <mergeCell ref="B6:F6"/>
    <mergeCell ref="B10:F10"/>
    <mergeCell ref="B9:H9"/>
    <mergeCell ref="B11:F11"/>
    <mergeCell ref="B12:F12"/>
    <mergeCell ref="B16:F16"/>
    <mergeCell ref="B18:F18"/>
    <mergeCell ref="B17:F17"/>
    <mergeCell ref="B19:F19"/>
    <mergeCell ref="B23:F23"/>
    <mergeCell ref="B24:F2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7"/>
  <sheetViews>
    <sheetView showGridLines="0" showWhiteSpace="0" zoomScale="120" zoomScaleNormal="12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9" style="2" customWidth="1"/>
    <col min="9" max="9" width="6.7109375" style="2" customWidth="1"/>
    <col min="10" max="16384" width="9.140625" style="2"/>
  </cols>
  <sheetData>
    <row r="1" spans="1:9" x14ac:dyDescent="0.25">
      <c r="A1" s="1"/>
      <c r="B1" s="121" t="s">
        <v>116</v>
      </c>
      <c r="C1" s="122"/>
      <c r="D1" s="122"/>
      <c r="E1" s="122"/>
      <c r="F1" s="122"/>
      <c r="G1" s="122"/>
      <c r="H1" s="122"/>
      <c r="I1" s="1"/>
    </row>
    <row r="2" spans="1:9" ht="19.899999999999999" customHeight="1" x14ac:dyDescent="0.25">
      <c r="A2" s="1"/>
      <c r="B2" s="122"/>
      <c r="C2" s="122"/>
      <c r="D2" s="122"/>
      <c r="E2" s="122"/>
      <c r="F2" s="122"/>
      <c r="G2" s="122"/>
      <c r="H2" s="122"/>
      <c r="I2" s="1"/>
    </row>
    <row r="3" spans="1:9" ht="15" customHeight="1" x14ac:dyDescent="0.25">
      <c r="A3" s="1"/>
      <c r="B3" s="123"/>
      <c r="C3" s="123"/>
      <c r="D3" s="123"/>
      <c r="E3" s="123"/>
      <c r="F3" s="123"/>
      <c r="G3" s="123"/>
      <c r="H3" s="123"/>
      <c r="I3" s="1"/>
    </row>
    <row r="4" spans="1:9" x14ac:dyDescent="0.25">
      <c r="A4" s="1"/>
      <c r="B4" s="115" t="s">
        <v>58</v>
      </c>
      <c r="C4" s="116"/>
      <c r="D4" s="116"/>
      <c r="E4" s="116"/>
      <c r="F4" s="116"/>
      <c r="G4" s="116"/>
      <c r="H4" s="117"/>
      <c r="I4" s="1"/>
    </row>
    <row r="5" spans="1:9" x14ac:dyDescent="0.25">
      <c r="A5" s="1"/>
      <c r="B5" s="112" t="s">
        <v>62</v>
      </c>
      <c r="C5" s="113"/>
      <c r="D5" s="113"/>
      <c r="E5" s="113"/>
      <c r="F5" s="114"/>
      <c r="G5" s="24">
        <v>14568382.748357538</v>
      </c>
      <c r="H5" s="14" t="s">
        <v>3</v>
      </c>
      <c r="I5" s="1"/>
    </row>
    <row r="6" spans="1:9" x14ac:dyDescent="0.25">
      <c r="A6" s="1"/>
      <c r="B6" s="112" t="s">
        <v>59</v>
      </c>
      <c r="C6" s="113"/>
      <c r="D6" s="113"/>
      <c r="E6" s="113"/>
      <c r="F6" s="114"/>
      <c r="G6" s="24">
        <f>G5*'Fane 12. Nøgletal'!C19</f>
        <v>132572.28301005359</v>
      </c>
      <c r="H6" s="14" t="s">
        <v>3</v>
      </c>
      <c r="I6" s="1"/>
    </row>
    <row r="7" spans="1:9" x14ac:dyDescent="0.25">
      <c r="A7" s="1"/>
      <c r="B7" s="54"/>
      <c r="C7" s="55"/>
      <c r="D7" s="55"/>
      <c r="E7" s="55"/>
      <c r="F7" s="55"/>
      <c r="G7" s="55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5" t="s">
        <v>63</v>
      </c>
      <c r="C9" s="116"/>
      <c r="D9" s="116"/>
      <c r="E9" s="116"/>
      <c r="F9" s="116"/>
      <c r="G9" s="116"/>
      <c r="H9" s="117"/>
      <c r="I9" s="1"/>
    </row>
    <row r="10" spans="1:9" x14ac:dyDescent="0.25">
      <c r="A10" s="1"/>
      <c r="B10" s="112" t="s">
        <v>64</v>
      </c>
      <c r="C10" s="113"/>
      <c r="D10" s="113"/>
      <c r="E10" s="113"/>
      <c r="F10" s="114"/>
      <c r="G10" s="24">
        <f>(G5-G6)*(1+'Fane 12. Nøgletal'!C9)</f>
        <v>14619145.258257397</v>
      </c>
      <c r="H10" s="14" t="s">
        <v>3</v>
      </c>
      <c r="I10" s="1"/>
    </row>
    <row r="11" spans="1:9" x14ac:dyDescent="0.25">
      <c r="A11" s="1"/>
      <c r="B11" s="118" t="s">
        <v>65</v>
      </c>
      <c r="C11" s="119"/>
      <c r="D11" s="119"/>
      <c r="E11" s="119"/>
      <c r="F11" s="120"/>
      <c r="G11" s="24">
        <v>0</v>
      </c>
      <c r="H11" s="14" t="s">
        <v>3</v>
      </c>
      <c r="I11" s="1"/>
    </row>
    <row r="12" spans="1:9" x14ac:dyDescent="0.25">
      <c r="A12" s="1"/>
      <c r="B12" s="112" t="s">
        <v>66</v>
      </c>
      <c r="C12" s="113"/>
      <c r="D12" s="113"/>
      <c r="E12" s="113"/>
      <c r="F12" s="114"/>
      <c r="G12" s="24">
        <f>G10*'Fane 12. Nøgletal'!C19+G11*'Fane 12. Nøgletal'!C20</f>
        <v>133034.22185014232</v>
      </c>
      <c r="H12" s="14" t="s">
        <v>3</v>
      </c>
      <c r="I12" s="1"/>
    </row>
    <row r="13" spans="1:9" x14ac:dyDescent="0.25">
      <c r="A13" s="1"/>
      <c r="B13" s="54"/>
      <c r="C13" s="55"/>
      <c r="D13" s="55"/>
      <c r="E13" s="55"/>
      <c r="F13" s="55"/>
      <c r="G13" s="55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5" t="s">
        <v>67</v>
      </c>
      <c r="C15" s="116"/>
      <c r="D15" s="116"/>
      <c r="E15" s="116"/>
      <c r="F15" s="116"/>
      <c r="G15" s="116"/>
      <c r="H15" s="117"/>
      <c r="I15" s="1"/>
    </row>
    <row r="16" spans="1:9" x14ac:dyDescent="0.25">
      <c r="A16" s="1"/>
      <c r="B16" s="112" t="s">
        <v>68</v>
      </c>
      <c r="C16" s="113"/>
      <c r="D16" s="113"/>
      <c r="E16" s="113"/>
      <c r="F16" s="114"/>
      <c r="G16" s="24">
        <f>(G10+G11-G12)*(1+'Fane 12. Nøgletal'!C11)</f>
        <v>14730926.312922535</v>
      </c>
      <c r="H16" s="14" t="s">
        <v>3</v>
      </c>
      <c r="I16" s="1"/>
    </row>
    <row r="17" spans="1:9" x14ac:dyDescent="0.25">
      <c r="A17" s="1"/>
      <c r="B17" s="112" t="s">
        <v>126</v>
      </c>
      <c r="C17" s="113"/>
      <c r="D17" s="113"/>
      <c r="E17" s="113"/>
      <c r="F17" s="114"/>
      <c r="G17" s="24">
        <v>108215.91727957159</v>
      </c>
      <c r="H17" s="14" t="s">
        <v>3</v>
      </c>
      <c r="I17" s="1"/>
    </row>
    <row r="18" spans="1:9" x14ac:dyDescent="0.25">
      <c r="A18" s="1"/>
      <c r="B18" s="118" t="s">
        <v>69</v>
      </c>
      <c r="C18" s="119"/>
      <c r="D18" s="119"/>
      <c r="E18" s="119"/>
      <c r="F18" s="120"/>
      <c r="G18" s="24">
        <v>10679.002094469997</v>
      </c>
      <c r="H18" s="14" t="s">
        <v>3</v>
      </c>
      <c r="I18" s="1"/>
    </row>
    <row r="19" spans="1:9" x14ac:dyDescent="0.25">
      <c r="A19" s="1"/>
      <c r="B19" s="112" t="s">
        <v>70</v>
      </c>
      <c r="C19" s="113"/>
      <c r="D19" s="113"/>
      <c r="E19" s="113"/>
      <c r="F19" s="114"/>
      <c r="G19" s="24">
        <f>(G16+G17+G18)*'Fane 12. Nøgletal'!C21</f>
        <v>129193.4447209802</v>
      </c>
      <c r="H19" s="14" t="s">
        <v>3</v>
      </c>
      <c r="I19" s="1"/>
    </row>
    <row r="20" spans="1:9" x14ac:dyDescent="0.25">
      <c r="A20" s="1"/>
      <c r="B20" s="54"/>
      <c r="C20" s="55"/>
      <c r="D20" s="55"/>
      <c r="E20" s="55"/>
      <c r="F20" s="55"/>
      <c r="G20" s="55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5" t="s">
        <v>71</v>
      </c>
      <c r="C22" s="116"/>
      <c r="D22" s="116"/>
      <c r="E22" s="116"/>
      <c r="F22" s="116"/>
      <c r="G22" s="116"/>
      <c r="H22" s="117"/>
      <c r="I22" s="1"/>
    </row>
    <row r="23" spans="1:9" x14ac:dyDescent="0.25">
      <c r="A23" s="1"/>
      <c r="B23" s="112" t="s">
        <v>72</v>
      </c>
      <c r="C23" s="113"/>
      <c r="D23" s="113"/>
      <c r="E23" s="113"/>
      <c r="F23" s="114"/>
      <c r="G23" s="24">
        <f>(SUM(G16:G18)-G19)*(1+'Fane 12. Nøgletal'!C11)</f>
        <v>14969406.397185624</v>
      </c>
      <c r="H23" s="14" t="s">
        <v>3</v>
      </c>
      <c r="I23" s="1"/>
    </row>
    <row r="24" spans="1:9" x14ac:dyDescent="0.25">
      <c r="A24" s="1"/>
      <c r="B24" s="118" t="s">
        <v>73</v>
      </c>
      <c r="C24" s="119"/>
      <c r="D24" s="119"/>
      <c r="E24" s="119"/>
      <c r="F24" s="120"/>
      <c r="G24" s="24">
        <v>22924.242679833002</v>
      </c>
      <c r="H24" s="14" t="s">
        <v>3</v>
      </c>
      <c r="I24" s="1"/>
    </row>
    <row r="25" spans="1:9" x14ac:dyDescent="0.25">
      <c r="A25" s="1"/>
      <c r="B25" s="112" t="s">
        <v>74</v>
      </c>
      <c r="C25" s="113"/>
      <c r="D25" s="113"/>
      <c r="E25" s="113"/>
      <c r="F25" s="114"/>
      <c r="G25" s="24">
        <f>G23*'Fane 12. Nøgletal'!C21+G24*'Fane 12. Nøgletal'!C22</f>
        <v>130884.88414762219</v>
      </c>
      <c r="H25" s="14" t="s">
        <v>3</v>
      </c>
      <c r="I25" s="1"/>
    </row>
    <row r="26" spans="1:9" x14ac:dyDescent="0.25">
      <c r="A26" s="1"/>
      <c r="B26" s="54"/>
      <c r="C26" s="55"/>
      <c r="D26" s="55"/>
      <c r="E26" s="55"/>
      <c r="F26" s="55"/>
      <c r="G26" s="55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5" t="s">
        <v>173</v>
      </c>
      <c r="C28" s="116"/>
      <c r="D28" s="116"/>
      <c r="E28" s="116"/>
      <c r="F28" s="116"/>
      <c r="G28" s="116"/>
      <c r="H28" s="117"/>
      <c r="I28" s="1"/>
    </row>
    <row r="29" spans="1:9" x14ac:dyDescent="0.25">
      <c r="A29" s="1"/>
      <c r="B29" s="112" t="s">
        <v>75</v>
      </c>
      <c r="C29" s="113"/>
      <c r="D29" s="113"/>
      <c r="E29" s="113"/>
      <c r="F29" s="114"/>
      <c r="G29" s="24">
        <f>(G23+G24-G25)*(1+'Fane 12. Nøgletal'!C13)</f>
        <v>15042755.393937591</v>
      </c>
      <c r="H29" s="14" t="s">
        <v>3</v>
      </c>
      <c r="I29" s="1"/>
    </row>
    <row r="30" spans="1:9" x14ac:dyDescent="0.25">
      <c r="A30" s="1"/>
      <c r="B30" s="112" t="s">
        <v>152</v>
      </c>
      <c r="C30" s="113"/>
      <c r="D30" s="113"/>
      <c r="E30" s="113"/>
      <c r="F30" s="114"/>
      <c r="G30" s="24">
        <v>426386.49074279994</v>
      </c>
      <c r="H30" s="14" t="s">
        <v>3</v>
      </c>
      <c r="I30" s="1"/>
    </row>
    <row r="31" spans="1:9" x14ac:dyDescent="0.25">
      <c r="A31" s="1"/>
      <c r="B31" s="112" t="s">
        <v>174</v>
      </c>
      <c r="C31" s="113"/>
      <c r="D31" s="113"/>
      <c r="E31" s="113"/>
      <c r="F31" s="114"/>
      <c r="G31" s="24">
        <f>(G29+G30)*'Fane 12. Nøgletal'!C23</f>
        <v>425401.4018287108</v>
      </c>
      <c r="H31" s="14" t="s">
        <v>3</v>
      </c>
      <c r="I31" s="1"/>
    </row>
    <row r="32" spans="1:9" x14ac:dyDescent="0.25">
      <c r="A32" s="1"/>
      <c r="B32" s="54"/>
      <c r="C32" s="55"/>
      <c r="D32" s="55"/>
      <c r="E32" s="55"/>
      <c r="F32" s="55"/>
      <c r="G32" s="55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5" t="s">
        <v>178</v>
      </c>
      <c r="C34" s="116"/>
      <c r="D34" s="116"/>
      <c r="E34" s="116"/>
      <c r="F34" s="116"/>
      <c r="G34" s="116"/>
      <c r="H34" s="117"/>
      <c r="I34" s="1"/>
    </row>
    <row r="35" spans="1:9" x14ac:dyDescent="0.25">
      <c r="A35" s="1"/>
      <c r="B35" s="112" t="s">
        <v>78</v>
      </c>
      <c r="C35" s="113"/>
      <c r="D35" s="113"/>
      <c r="E35" s="113"/>
      <c r="F35" s="114"/>
      <c r="G35" s="24">
        <f>(G29+G30-G31)*(1+'Fane 12. Nøgletal'!C13)</f>
        <v>15227274.116742473</v>
      </c>
      <c r="H35" s="14" t="s">
        <v>3</v>
      </c>
      <c r="I35" s="1"/>
    </row>
    <row r="36" spans="1:9" s="41" customFormat="1" x14ac:dyDescent="0.25">
      <c r="A36" s="38"/>
      <c r="B36" s="37" t="s">
        <v>223</v>
      </c>
      <c r="C36" s="39"/>
      <c r="D36" s="39"/>
      <c r="E36" s="39"/>
      <c r="F36" s="40"/>
      <c r="G36" s="42">
        <f>SUM('Fane 2.1. Økonomisk ramme 2022'!C11)*(1+'Fane 12. Nøgletal'!C14)</f>
        <v>412502.95381222345</v>
      </c>
      <c r="H36" s="14" t="s">
        <v>3</v>
      </c>
      <c r="I36" s="38"/>
    </row>
    <row r="37" spans="1:9" x14ac:dyDescent="0.25">
      <c r="A37" s="1"/>
      <c r="B37" s="112" t="s">
        <v>194</v>
      </c>
      <c r="C37" s="113"/>
      <c r="D37" s="113"/>
      <c r="E37" s="113"/>
      <c r="F37" s="114"/>
      <c r="G37" s="24">
        <f>SUM('Fane 2.1. Økonomisk ramme 2022'!C13,'Fane 2.1. Økonomisk ramme 2022'!C15,'Fane 2.1. Økonomisk ramme 2022'!C17)*(1+'Fane 12. Nøgletal'!C14)</f>
        <v>13661.722999080002</v>
      </c>
      <c r="H37" s="14" t="s">
        <v>3</v>
      </c>
      <c r="I37" s="1"/>
    </row>
    <row r="38" spans="1:9" x14ac:dyDescent="0.25">
      <c r="A38" s="1"/>
      <c r="B38" s="112" t="s">
        <v>179</v>
      </c>
      <c r="C38" s="113"/>
      <c r="D38" s="113"/>
      <c r="E38" s="113"/>
      <c r="F38" s="114"/>
      <c r="G38" s="24">
        <f>G35*'Fane 12. Nøgletal'!C23+G37*'Fane 12. Nøgletal'!C24</f>
        <v>418952.23171080439</v>
      </c>
      <c r="H38" s="14" t="s">
        <v>3</v>
      </c>
      <c r="I38" s="1"/>
    </row>
    <row r="39" spans="1:9" x14ac:dyDescent="0.25">
      <c r="A39" s="1"/>
      <c r="B39" s="54"/>
      <c r="C39" s="55"/>
      <c r="D39" s="55"/>
      <c r="E39" s="55"/>
      <c r="F39" s="55"/>
      <c r="G39" s="55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5" t="s">
        <v>82</v>
      </c>
      <c r="C41" s="116"/>
      <c r="D41" s="116"/>
      <c r="E41" s="116"/>
      <c r="F41" s="116"/>
      <c r="G41" s="116"/>
      <c r="H41" s="117"/>
      <c r="I41" s="1"/>
    </row>
    <row r="42" spans="1:9" x14ac:dyDescent="0.25">
      <c r="A42" s="1"/>
      <c r="B42" s="112" t="s">
        <v>77</v>
      </c>
      <c r="C42" s="113"/>
      <c r="D42" s="113"/>
      <c r="E42" s="113"/>
      <c r="F42" s="114"/>
      <c r="G42" s="24">
        <f>(G35+G37-G38)*(1+'Fane 12. Nøgletal'!C14)</f>
        <v>14870896.15393725</v>
      </c>
      <c r="H42" s="14" t="s">
        <v>3</v>
      </c>
      <c r="I42" s="1"/>
    </row>
    <row r="43" spans="1:9" x14ac:dyDescent="0.25">
      <c r="A43" s="1"/>
      <c r="B43" s="112" t="s">
        <v>96</v>
      </c>
      <c r="C43" s="113"/>
      <c r="D43" s="113"/>
      <c r="E43" s="113"/>
      <c r="F43" s="114"/>
      <c r="G43" s="24">
        <f>-'Fane 11. Bortfald'!E19*(1+'Fane 12. Nøgletal'!C14)</f>
        <v>0</v>
      </c>
      <c r="H43" s="14" t="s">
        <v>3</v>
      </c>
      <c r="I43" s="1"/>
    </row>
    <row r="44" spans="1:9" x14ac:dyDescent="0.25">
      <c r="A44" s="1"/>
      <c r="B44" s="112" t="s">
        <v>76</v>
      </c>
      <c r="C44" s="113"/>
      <c r="D44" s="113"/>
      <c r="E44" s="113"/>
      <c r="F44" s="114"/>
      <c r="G44" s="24">
        <f>(G42+G43)*'Fane 12. Nøgletal'!C24</f>
        <v>220089.26307827132</v>
      </c>
      <c r="H44" s="14" t="s">
        <v>3</v>
      </c>
      <c r="I44" s="1"/>
    </row>
    <row r="45" spans="1:9" x14ac:dyDescent="0.25">
      <c r="A45" s="1"/>
      <c r="B45" s="54"/>
      <c r="C45" s="55"/>
      <c r="D45" s="55"/>
      <c r="E45" s="55"/>
      <c r="F45" s="55"/>
      <c r="G45" s="55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5" t="s">
        <v>153</v>
      </c>
      <c r="C47" s="116"/>
      <c r="D47" s="116"/>
      <c r="E47" s="116"/>
      <c r="F47" s="116"/>
      <c r="G47" s="116"/>
      <c r="H47" s="117"/>
      <c r="I47" s="1"/>
    </row>
    <row r="48" spans="1:9" x14ac:dyDescent="0.25">
      <c r="A48" s="1"/>
      <c r="B48" s="112" t="s">
        <v>154</v>
      </c>
      <c r="C48" s="113"/>
      <c r="D48" s="113"/>
      <c r="E48" s="113"/>
      <c r="F48" s="114"/>
      <c r="G48" s="24">
        <f>(G42+G43-G44)*(1+'Fane 12. Nøgletal'!C14)</f>
        <v>14699154.553598816</v>
      </c>
      <c r="H48" s="14" t="s">
        <v>3</v>
      </c>
      <c r="I48" s="1"/>
    </row>
    <row r="49" spans="1:9" x14ac:dyDescent="0.25">
      <c r="A49" s="1"/>
      <c r="B49" s="112" t="s">
        <v>155</v>
      </c>
      <c r="C49" s="113"/>
      <c r="D49" s="113"/>
      <c r="E49" s="113"/>
      <c r="F49" s="114"/>
      <c r="G49" s="24">
        <f>-'Fane 11. Bortfald'!E26*(1+'Fane 12. Nøgletal'!C13)</f>
        <v>0</v>
      </c>
      <c r="H49" s="14" t="s">
        <v>3</v>
      </c>
      <c r="I49" s="1"/>
    </row>
    <row r="50" spans="1:9" x14ac:dyDescent="0.25">
      <c r="A50" s="1"/>
      <c r="B50" s="112" t="s">
        <v>156</v>
      </c>
      <c r="C50" s="113"/>
      <c r="D50" s="113"/>
      <c r="E50" s="113"/>
      <c r="F50" s="114"/>
      <c r="G50" s="24">
        <f>(G48+G49)*'Fane 12. Nøgletal'!C24</f>
        <v>217547.48739326248</v>
      </c>
      <c r="H50" s="14" t="s">
        <v>3</v>
      </c>
      <c r="I50" s="1"/>
    </row>
    <row r="51" spans="1:9" x14ac:dyDescent="0.25">
      <c r="A51" s="1"/>
      <c r="B51" s="54"/>
      <c r="C51" s="55"/>
      <c r="D51" s="55"/>
      <c r="E51" s="55"/>
      <c r="F51" s="55"/>
      <c r="G51" s="55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5" t="s">
        <v>195</v>
      </c>
      <c r="C53" s="116"/>
      <c r="D53" s="116"/>
      <c r="E53" s="116"/>
      <c r="F53" s="116"/>
      <c r="G53" s="116"/>
      <c r="H53" s="117"/>
      <c r="I53" s="1"/>
    </row>
    <row r="54" spans="1:9" x14ac:dyDescent="0.25">
      <c r="A54" s="1"/>
      <c r="B54" s="112" t="s">
        <v>196</v>
      </c>
      <c r="C54" s="113"/>
      <c r="D54" s="113"/>
      <c r="E54" s="113"/>
      <c r="F54" s="114"/>
      <c r="G54" s="24">
        <f>(G48+G49-G50)*(1+'Fane 12. Nøgletal'!C14)</f>
        <v>14529396.369524034</v>
      </c>
      <c r="H54" s="14" t="s">
        <v>3</v>
      </c>
      <c r="I54" s="1"/>
    </row>
    <row r="55" spans="1:9" x14ac:dyDescent="0.25">
      <c r="A55" s="1"/>
      <c r="B55" s="112" t="s">
        <v>197</v>
      </c>
      <c r="C55" s="113"/>
      <c r="D55" s="113"/>
      <c r="E55" s="113"/>
      <c r="F55" s="114"/>
      <c r="G55" s="24">
        <f>-'Fane 11. Bortfald'!E33*(1+'Fane 12. Nøgletal'!C14)</f>
        <v>0</v>
      </c>
      <c r="H55" s="14" t="s">
        <v>3</v>
      </c>
      <c r="I55" s="1"/>
    </row>
    <row r="56" spans="1:9" x14ac:dyDescent="0.25">
      <c r="A56" s="1"/>
      <c r="B56" s="112" t="s">
        <v>198</v>
      </c>
      <c r="C56" s="113"/>
      <c r="D56" s="113"/>
      <c r="E56" s="113"/>
      <c r="F56" s="114"/>
      <c r="G56" s="24">
        <f>(G54+G55)*'Fane 12. Nøgletal'!C24</f>
        <v>215035.06626895571</v>
      </c>
      <c r="H56" s="14" t="s">
        <v>3</v>
      </c>
      <c r="I56" s="1"/>
    </row>
    <row r="57" spans="1:9" x14ac:dyDescent="0.25">
      <c r="A57" s="1"/>
      <c r="B57" s="54"/>
      <c r="C57" s="55"/>
      <c r="D57" s="55"/>
      <c r="E57" s="55"/>
      <c r="F57" s="55"/>
      <c r="G57" s="55"/>
      <c r="H57" s="20"/>
      <c r="I57" s="1"/>
    </row>
  </sheetData>
  <sheetProtection algorithmName="SHA-512" hashValue="NZnoemINNtZsNiKeQU22ZPM6uj2kYiFdvyKaI51cXPmYoQisNYmmjuGCXH718UQFg9nNIqTriRJ5sz7ffWQP6Q==" saltValue="Uqjf6qUNMXfLY9B2umfsFA==" spinCount="100000" sheet="1" objects="1" scenarios="1"/>
  <mergeCells count="37">
    <mergeCell ref="B1:H3"/>
    <mergeCell ref="B53:H53"/>
    <mergeCell ref="B54:F54"/>
    <mergeCell ref="B55:F55"/>
    <mergeCell ref="B56:F56"/>
    <mergeCell ref="B35:F35"/>
    <mergeCell ref="B44:F44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17:F17"/>
    <mergeCell ref="B47:H47"/>
    <mergeCell ref="B28:H28"/>
    <mergeCell ref="B29:F29"/>
    <mergeCell ref="B31:F31"/>
    <mergeCell ref="B34:H34"/>
    <mergeCell ref="B22:H22"/>
    <mergeCell ref="B23:F23"/>
    <mergeCell ref="B24:F24"/>
    <mergeCell ref="B25:F25"/>
    <mergeCell ref="B48:F48"/>
    <mergeCell ref="B49:F49"/>
    <mergeCell ref="B50:F50"/>
    <mergeCell ref="B37:F37"/>
    <mergeCell ref="B43:F43"/>
    <mergeCell ref="B42:F42"/>
    <mergeCell ref="B41:H41"/>
    <mergeCell ref="B38:F38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91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5" t="s">
        <v>9</v>
      </c>
      <c r="C8" s="116"/>
      <c r="D8" s="116"/>
      <c r="E8" s="116"/>
      <c r="F8" s="116"/>
      <c r="G8" s="116"/>
      <c r="H8" s="117"/>
      <c r="I8" s="1"/>
    </row>
    <row r="9" spans="1:9" x14ac:dyDescent="0.25">
      <c r="A9" s="1"/>
      <c r="B9" s="112" t="s">
        <v>105</v>
      </c>
      <c r="C9" s="113"/>
      <c r="D9" s="113"/>
      <c r="E9" s="113"/>
      <c r="F9" s="114"/>
      <c r="G9" s="44">
        <v>9.6348383614694704E-3</v>
      </c>
      <c r="H9" s="14"/>
      <c r="I9" s="1"/>
    </row>
    <row r="10" spans="1:9" x14ac:dyDescent="0.25">
      <c r="A10" s="1"/>
      <c r="B10" s="112" t="s">
        <v>141</v>
      </c>
      <c r="C10" s="113"/>
      <c r="D10" s="113"/>
      <c r="E10" s="113"/>
      <c r="F10" s="114"/>
      <c r="G10" s="44">
        <v>8.2429694120936935E-3</v>
      </c>
      <c r="H10" s="14"/>
      <c r="I10" s="1"/>
    </row>
    <row r="11" spans="1:9" x14ac:dyDescent="0.25">
      <c r="A11" s="1"/>
      <c r="B11" s="54"/>
      <c r="C11" s="55"/>
      <c r="D11" s="55"/>
      <c r="E11" s="55"/>
      <c r="F11" s="55"/>
      <c r="G11" s="55"/>
      <c r="H11" s="20"/>
      <c r="I11" s="1"/>
    </row>
    <row r="12" spans="1:9" ht="14.25" customHeight="1" x14ac:dyDescent="0.25">
      <c r="A12" s="1"/>
      <c r="B12" s="124" t="s">
        <v>192</v>
      </c>
      <c r="C12" s="125"/>
      <c r="D12" s="125"/>
      <c r="E12" s="125"/>
      <c r="F12" s="125"/>
      <c r="G12" s="125"/>
      <c r="H12" s="126"/>
      <c r="I12" s="1"/>
    </row>
    <row r="13" spans="1:9" ht="12.75" customHeight="1" x14ac:dyDescent="0.25">
      <c r="A13" s="18"/>
      <c r="B13" s="127"/>
      <c r="C13" s="128"/>
      <c r="D13" s="128"/>
      <c r="E13" s="128"/>
      <c r="F13" s="128"/>
      <c r="G13" s="128"/>
      <c r="H13" s="129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DFU97kXURl+82+5sMwB1fEVbgKz+cUXpY0ZuCMd6cRwBBN4RHJMA1n8T87Mx6Kec9WNgBh6Otmd+Tu/TrDG60Q==" saltValue="7Hq2DpZ3N68UysAdFdGWKg==" spinCount="100000" sheet="1" objects="1" scenarios="1"/>
  <mergeCells count="5">
    <mergeCell ref="B3:H4"/>
    <mergeCell ref="B9:F9"/>
    <mergeCell ref="B8:H8"/>
    <mergeCell ref="B10:F10"/>
    <mergeCell ref="B12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Christina Cramer Calonius Hoffgaard</cp:lastModifiedBy>
  <cp:lastPrinted>2016-06-14T12:57:30Z</cp:lastPrinted>
  <dcterms:created xsi:type="dcterms:W3CDTF">2016-06-02T08:51:18Z</dcterms:created>
  <dcterms:modified xsi:type="dcterms:W3CDTF">2021-11-10T10:26:52Z</dcterms:modified>
</cp:coreProperties>
</file>