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fællesskabet Nordvestsjælland (V20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2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3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<sst xmlns="http://schemas.openxmlformats.org/spreadsheetml/2006/main" count="582" uniqueCount="243">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</sst>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4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5">
      <c r="A8" s="1"/>
      <c r="B8" s="1"/>
      <c r="C8" s="4"/>
      <c r="D8" s="67" t="s">
        <v>206</v>
      </c>
      <c r="E8" s="67"/>
      <c r="F8" s="67"/>
      <c r="G8" s="6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2" t="s">
        <v>151</v>
      </c>
      <c r="E13" s="63"/>
      <c r="F13" s="63"/>
      <c r="G13" s="64"/>
      <c r="H13" s="1"/>
      <c r="I13" s="1"/>
    </row>
    <row r="14" spans="1:9" x14ac:dyDescent="0.45">
      <c r="A14" s="1"/>
      <c r="B14" s="1"/>
      <c r="C14" s="6" t="s">
        <v>15</v>
      </c>
      <c r="D14" s="62" t="s">
        <v>207</v>
      </c>
      <c r="E14" s="63"/>
      <c r="F14" s="63"/>
      <c r="G14" s="64"/>
      <c r="H14" s="1"/>
      <c r="I14" s="1"/>
    </row>
    <row r="15" spans="1:9" x14ac:dyDescent="0.45">
      <c r="A15" s="1"/>
      <c r="B15" s="1"/>
      <c r="C15" s="6" t="s">
        <v>40</v>
      </c>
      <c r="D15" s="62" t="s">
        <v>93</v>
      </c>
      <c r="E15" s="63"/>
      <c r="F15" s="63"/>
      <c r="G15" s="64"/>
      <c r="H15" s="1"/>
      <c r="I15" s="1"/>
    </row>
    <row r="16" spans="1:9" x14ac:dyDescent="0.45">
      <c r="A16" s="1"/>
      <c r="B16" s="1"/>
      <c r="C16" s="6" t="s">
        <v>41</v>
      </c>
      <c r="D16" s="62" t="s">
        <v>152</v>
      </c>
      <c r="E16" s="63"/>
      <c r="F16" s="63"/>
      <c r="G16" s="64"/>
      <c r="H16" s="1"/>
      <c r="I16" s="1"/>
    </row>
    <row r="17" spans="1:9" x14ac:dyDescent="0.45">
      <c r="A17" s="1"/>
      <c r="B17" s="1"/>
      <c r="C17" s="6" t="s">
        <v>150</v>
      </c>
      <c r="D17" s="62" t="s">
        <v>153</v>
      </c>
      <c r="E17" s="63"/>
      <c r="F17" s="63"/>
      <c r="G17" s="64"/>
      <c r="H17" s="1"/>
      <c r="I17" s="1"/>
    </row>
    <row r="18" spans="1:9" x14ac:dyDescent="0.45">
      <c r="A18" s="1"/>
      <c r="B18" s="1"/>
      <c r="C18" s="33" t="s">
        <v>134</v>
      </c>
      <c r="D18" s="68" t="s">
        <v>114</v>
      </c>
      <c r="E18" s="69"/>
      <c r="F18" s="69"/>
      <c r="G18" s="70"/>
      <c r="H18" s="1"/>
      <c r="I18" s="1"/>
    </row>
    <row r="19" spans="1:9" x14ac:dyDescent="0.45">
      <c r="A19" s="1"/>
      <c r="B19" s="1"/>
      <c r="C19" s="33" t="s">
        <v>135</v>
      </c>
      <c r="D19" s="68" t="s">
        <v>115</v>
      </c>
      <c r="E19" s="69"/>
      <c r="F19" s="69"/>
      <c r="G19" s="70"/>
      <c r="H19" s="1"/>
      <c r="I19" s="1"/>
    </row>
    <row r="20" spans="1:9" x14ac:dyDescent="0.45">
      <c r="A20" s="1"/>
      <c r="B20" s="1"/>
      <c r="C20" s="33" t="s">
        <v>7</v>
      </c>
      <c r="D20" s="68" t="s">
        <v>9</v>
      </c>
      <c r="E20" s="69"/>
      <c r="F20" s="69"/>
      <c r="G20" s="70"/>
      <c r="H20" s="1"/>
      <c r="I20" s="1"/>
    </row>
    <row r="21" spans="1:9" x14ac:dyDescent="0.45">
      <c r="A21" s="1"/>
      <c r="B21" s="1"/>
      <c r="C21" s="6" t="s">
        <v>136</v>
      </c>
      <c r="D21" s="59" t="s">
        <v>12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97</v>
      </c>
      <c r="D22" s="53" t="s">
        <v>154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8</v>
      </c>
      <c r="D23" s="53" t="s">
        <v>42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217</v>
      </c>
      <c r="D24" s="53" t="s">
        <v>98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218</v>
      </c>
      <c r="D25" s="53" t="s">
        <v>99</v>
      </c>
      <c r="E25" s="54"/>
      <c r="F25" s="54"/>
      <c r="G25" s="55"/>
      <c r="H25" s="1"/>
      <c r="I25" s="1"/>
    </row>
    <row r="26" spans="1:9" x14ac:dyDescent="0.45">
      <c r="A26" s="1"/>
      <c r="B26" s="1"/>
      <c r="C26" s="6" t="s">
        <v>219</v>
      </c>
      <c r="D26" s="53" t="s">
        <v>155</v>
      </c>
      <c r="E26" s="54"/>
      <c r="F26" s="54"/>
      <c r="G26" s="55"/>
      <c r="H26" s="1"/>
      <c r="I26" s="1"/>
    </row>
    <row r="27" spans="1:9" x14ac:dyDescent="0.45">
      <c r="A27" s="1"/>
      <c r="B27" s="1"/>
      <c r="C27" s="6" t="s">
        <v>137</v>
      </c>
      <c r="D27" s="53" t="s">
        <v>43</v>
      </c>
      <c r="E27" s="54"/>
      <c r="F27" s="54"/>
      <c r="G27" s="55"/>
      <c r="H27" s="1"/>
      <c r="I27" s="1"/>
    </row>
    <row r="28" spans="1:9" x14ac:dyDescent="0.45">
      <c r="A28" s="1"/>
      <c r="B28" s="1"/>
      <c r="C28" s="6" t="s">
        <v>128</v>
      </c>
      <c r="D28" s="56" t="s">
        <v>129</v>
      </c>
      <c r="E28" s="57"/>
      <c r="F28" s="57"/>
      <c r="G28" s="5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1" t="s">
        <v>140</v>
      </c>
      <c r="C3" s="71"/>
      <c r="D3" s="71"/>
      <c r="E3" s="1"/>
      <c r="F3" s="1"/>
    </row>
    <row r="4" spans="1:6" ht="15" customHeight="1" x14ac:dyDescent="0.45">
      <c r="A4" s="1"/>
      <c r="B4" s="71"/>
      <c r="C4" s="71"/>
      <c r="D4" s="7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168</v>
      </c>
      <c r="C8" s="95"/>
      <c r="D8" s="96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x14ac:dyDescent="0.45">
      <c r="A10" s="1"/>
      <c r="B10" s="48" t="s">
        <v>234</v>
      </c>
      <c r="C10" s="9">
        <v>65688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3047281</v>
      </c>
      <c r="D11" s="14" t="s">
        <v>3</v>
      </c>
      <c r="E11" s="1"/>
      <c r="F11" s="1"/>
    </row>
    <row r="12" spans="1:6" x14ac:dyDescent="0.45">
      <c r="A12" s="1"/>
      <c r="B12" s="45" t="s">
        <v>169</v>
      </c>
      <c r="C12" s="12">
        <f>SUM(C10:C11)</f>
        <v>3112969</v>
      </c>
      <c r="D12" s="13" t="s">
        <v>3</v>
      </c>
      <c r="E12" s="1"/>
      <c r="F12" s="1"/>
    </row>
    <row r="13" spans="1:6" x14ac:dyDescent="0.45">
      <c r="A13" s="1"/>
      <c r="B13" s="45" t="s">
        <v>170</v>
      </c>
      <c r="C13" s="12">
        <f>C12*(1+'Fane 12. Nøgletal'!C13)^2</f>
        <v>3189388.7779059601</v>
      </c>
      <c r="D13" s="13" t="s">
        <v>3</v>
      </c>
      <c r="E13" s="1"/>
      <c r="F13" s="1"/>
    </row>
    <row r="14" spans="1:6" x14ac:dyDescent="0.45">
      <c r="A14" s="1"/>
      <c r="B14" s="16"/>
      <c r="C14" s="15"/>
      <c r="D14" s="15"/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1" t="s">
        <v>172</v>
      </c>
      <c r="C2" s="81"/>
      <c r="D2" s="81"/>
      <c r="E2" s="81"/>
      <c r="F2" s="81"/>
      <c r="G2" s="1"/>
    </row>
    <row r="3" spans="1:7" ht="15" customHeight="1" x14ac:dyDescent="0.45">
      <c r="A3" s="1"/>
      <c r="B3" s="81"/>
      <c r="C3" s="81"/>
      <c r="D3" s="81"/>
      <c r="E3" s="81"/>
      <c r="F3" s="81"/>
      <c r="G3" s="1"/>
    </row>
    <row r="4" spans="1:7" ht="15" customHeight="1" x14ac:dyDescent="0.45">
      <c r="A4" s="1"/>
      <c r="B4" s="94" t="s">
        <v>39</v>
      </c>
      <c r="C4" s="95"/>
      <c r="D4" s="95"/>
      <c r="E4" s="95"/>
      <c r="F4" s="96"/>
      <c r="G4" s="1"/>
    </row>
    <row r="5" spans="1:7" ht="15" customHeight="1" x14ac:dyDescent="0.45">
      <c r="A5" s="1"/>
      <c r="B5" s="97" t="s">
        <v>37</v>
      </c>
      <c r="C5" s="98"/>
      <c r="D5" s="99"/>
      <c r="E5" s="9">
        <v>245956.3</v>
      </c>
      <c r="F5" s="14" t="s">
        <v>3</v>
      </c>
      <c r="G5" s="1"/>
    </row>
    <row r="6" spans="1:7" ht="15" customHeight="1" x14ac:dyDescent="0.45">
      <c r="A6" s="1"/>
      <c r="B6" s="97" t="s">
        <v>38</v>
      </c>
      <c r="C6" s="98"/>
      <c r="D6" s="99"/>
      <c r="E6" s="9">
        <v>90621.993914544582</v>
      </c>
      <c r="F6" s="14" t="s">
        <v>3</v>
      </c>
      <c r="G6" s="1"/>
    </row>
    <row r="7" spans="1:7" ht="15" customHeight="1" x14ac:dyDescent="0.45">
      <c r="A7" s="1"/>
      <c r="B7" s="105" t="s">
        <v>131</v>
      </c>
      <c r="C7" s="106"/>
      <c r="D7" s="107"/>
      <c r="E7" s="10">
        <f>SUM(E5:E6)</f>
        <v>336578.29391454457</v>
      </c>
      <c r="F7" s="17" t="s">
        <v>3</v>
      </c>
      <c r="G7" s="1"/>
    </row>
    <row r="8" spans="1:7" ht="15" customHeight="1" x14ac:dyDescent="0.45">
      <c r="A8" s="1"/>
      <c r="B8" s="45"/>
      <c r="C8" s="46"/>
      <c r="D8" s="46"/>
      <c r="E8" s="46"/>
      <c r="F8" s="20"/>
      <c r="G8" s="1"/>
    </row>
    <row r="9" spans="1:7" ht="28.5" customHeight="1" x14ac:dyDescent="0.45">
      <c r="A9" s="1"/>
      <c r="B9" s="85" t="s">
        <v>132</v>
      </c>
      <c r="C9" s="86"/>
      <c r="D9" s="86"/>
      <c r="E9" s="86"/>
      <c r="F9" s="87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4" t="s">
        <v>116</v>
      </c>
      <c r="C11" s="95"/>
      <c r="D11" s="95"/>
      <c r="E11" s="95"/>
      <c r="F11" s="96"/>
      <c r="G11" s="1"/>
    </row>
    <row r="12" spans="1:7" x14ac:dyDescent="0.45">
      <c r="A12" s="1"/>
      <c r="B12" s="97" t="s">
        <v>117</v>
      </c>
      <c r="C12" s="98"/>
      <c r="D12" s="99"/>
      <c r="E12" s="9">
        <v>9776571.9629499633</v>
      </c>
      <c r="F12" s="14" t="s">
        <v>3</v>
      </c>
      <c r="G12" s="1"/>
    </row>
    <row r="13" spans="1:7" x14ac:dyDescent="0.45">
      <c r="A13" s="1"/>
      <c r="B13" s="97" t="s">
        <v>118</v>
      </c>
      <c r="C13" s="98"/>
      <c r="D13" s="99"/>
      <c r="E13" s="9">
        <v>7414551</v>
      </c>
      <c r="F13" s="14" t="s">
        <v>3</v>
      </c>
      <c r="G13" s="1"/>
    </row>
    <row r="14" spans="1:7" x14ac:dyDescent="0.45">
      <c r="A14" s="1"/>
      <c r="B14" s="97" t="s">
        <v>36</v>
      </c>
      <c r="C14" s="98"/>
      <c r="D14" s="99"/>
      <c r="E14" s="9">
        <v>0</v>
      </c>
      <c r="F14" s="14" t="s">
        <v>3</v>
      </c>
      <c r="G14" s="1"/>
    </row>
    <row r="15" spans="1:7" x14ac:dyDescent="0.45">
      <c r="A15" s="1"/>
      <c r="B15" s="105" t="s">
        <v>208</v>
      </c>
      <c r="C15" s="106"/>
      <c r="D15" s="107"/>
      <c r="E15" s="10">
        <f>E12-(E13-E14)</f>
        <v>2362020.9629499633</v>
      </c>
      <c r="F15" s="17" t="s">
        <v>3</v>
      </c>
      <c r="G15" s="1"/>
    </row>
    <row r="16" spans="1:7" x14ac:dyDescent="0.45">
      <c r="A16" s="1"/>
      <c r="B16" s="45"/>
      <c r="C16" s="46"/>
      <c r="D16" s="46"/>
      <c r="E16" s="46"/>
      <c r="F16" s="20"/>
      <c r="G16" s="1"/>
    </row>
    <row r="17" spans="1:7" ht="30" customHeight="1" x14ac:dyDescent="0.45">
      <c r="A17" s="1"/>
      <c r="B17" s="85" t="s">
        <v>133</v>
      </c>
      <c r="C17" s="86"/>
      <c r="D17" s="86"/>
      <c r="E17" s="86"/>
      <c r="F17" s="87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4" t="s">
        <v>50</v>
      </c>
      <c r="C19" s="95"/>
      <c r="D19" s="95"/>
      <c r="E19" s="95"/>
      <c r="F19" s="96"/>
      <c r="G19" s="1"/>
    </row>
    <row r="20" spans="1:7" x14ac:dyDescent="0.45">
      <c r="A20" s="1"/>
      <c r="B20" s="97" t="s">
        <v>51</v>
      </c>
      <c r="C20" s="98"/>
      <c r="D20" s="99"/>
      <c r="E20" s="9">
        <v>7649566.1534352554</v>
      </c>
      <c r="F20" s="14" t="s">
        <v>3</v>
      </c>
      <c r="G20" s="1"/>
    </row>
    <row r="21" spans="1:7" x14ac:dyDescent="0.45">
      <c r="A21" s="1"/>
      <c r="B21" s="97" t="s">
        <v>52</v>
      </c>
      <c r="C21" s="98"/>
      <c r="D21" s="99"/>
      <c r="E21" s="9">
        <v>7859814</v>
      </c>
      <c r="F21" s="14" t="s">
        <v>3</v>
      </c>
      <c r="G21" s="1"/>
    </row>
    <row r="22" spans="1:7" x14ac:dyDescent="0.45">
      <c r="A22" s="1"/>
      <c r="B22" s="97" t="s">
        <v>36</v>
      </c>
      <c r="C22" s="98"/>
      <c r="D22" s="99"/>
      <c r="E22" s="9">
        <v>0</v>
      </c>
      <c r="F22" s="14" t="s">
        <v>3</v>
      </c>
      <c r="G22" s="1"/>
    </row>
    <row r="23" spans="1:7" x14ac:dyDescent="0.45">
      <c r="A23" s="1"/>
      <c r="B23" s="105" t="s">
        <v>209</v>
      </c>
      <c r="C23" s="106"/>
      <c r="D23" s="107"/>
      <c r="E23" s="10">
        <f>E20-(E21-E22)</f>
        <v>-210247.8465647446</v>
      </c>
      <c r="F23" s="17" t="s">
        <v>3</v>
      </c>
      <c r="G23" s="1"/>
    </row>
    <row r="24" spans="1:7" x14ac:dyDescent="0.45">
      <c r="A24" s="1"/>
      <c r="B24" s="45"/>
      <c r="C24" s="46"/>
      <c r="D24" s="46"/>
      <c r="E24" s="46"/>
      <c r="F24" s="20"/>
      <c r="G24" s="1"/>
    </row>
    <row r="25" spans="1:7" ht="28.5" customHeight="1" x14ac:dyDescent="0.45">
      <c r="A25" s="1"/>
      <c r="B25" s="85" t="s">
        <v>179</v>
      </c>
      <c r="C25" s="86"/>
      <c r="D25" s="86"/>
      <c r="E25" s="86"/>
      <c r="F25" s="87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4" t="s">
        <v>200</v>
      </c>
      <c r="C27" s="95"/>
      <c r="D27" s="95"/>
      <c r="E27" s="95"/>
      <c r="F27" s="96"/>
      <c r="G27" s="1"/>
    </row>
    <row r="28" spans="1:7" x14ac:dyDescent="0.45">
      <c r="A28" s="1"/>
      <c r="B28" s="97" t="s">
        <v>201</v>
      </c>
      <c r="C28" s="98"/>
      <c r="D28" s="99"/>
      <c r="E28" s="9">
        <v>7616793.7790730875</v>
      </c>
      <c r="F28" s="14" t="s">
        <v>3</v>
      </c>
      <c r="G28" s="1"/>
    </row>
    <row r="29" spans="1:7" x14ac:dyDescent="0.45">
      <c r="A29" s="1"/>
      <c r="B29" s="97" t="s">
        <v>202</v>
      </c>
      <c r="C29" s="98"/>
      <c r="D29" s="99"/>
      <c r="E29" s="9">
        <v>8585060</v>
      </c>
      <c r="F29" s="14" t="s">
        <v>3</v>
      </c>
      <c r="G29" s="1"/>
    </row>
    <row r="30" spans="1:7" x14ac:dyDescent="0.45">
      <c r="A30" s="1"/>
      <c r="B30" s="97" t="s">
        <v>36</v>
      </c>
      <c r="C30" s="98"/>
      <c r="D30" s="99"/>
      <c r="E30" s="9">
        <v>0</v>
      </c>
      <c r="F30" s="14" t="s">
        <v>3</v>
      </c>
      <c r="G30" s="1"/>
    </row>
    <row r="31" spans="1:7" x14ac:dyDescent="0.45">
      <c r="A31" s="1"/>
      <c r="B31" s="105" t="s">
        <v>210</v>
      </c>
      <c r="C31" s="106"/>
      <c r="D31" s="107"/>
      <c r="E31" s="10">
        <f>E28-(E29-E30)</f>
        <v>-968266.2209269125</v>
      </c>
      <c r="F31" s="17" t="s">
        <v>3</v>
      </c>
      <c r="G31" s="1"/>
    </row>
    <row r="32" spans="1:7" x14ac:dyDescent="0.45">
      <c r="A32" s="1"/>
      <c r="B32" s="45"/>
      <c r="C32" s="46"/>
      <c r="D32" s="46"/>
      <c r="E32" s="46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4" t="s">
        <v>125</v>
      </c>
      <c r="C34" s="95"/>
      <c r="D34" s="95"/>
      <c r="E34" s="95"/>
      <c r="F34" s="96"/>
      <c r="G34" s="1"/>
    </row>
    <row r="35" spans="1:7" x14ac:dyDescent="0.45">
      <c r="A35" s="1"/>
      <c r="B35" s="108" t="s">
        <v>241</v>
      </c>
      <c r="C35" s="109"/>
      <c r="D35" s="110"/>
      <c r="E35" s="9">
        <v>0</v>
      </c>
      <c r="F35" s="14"/>
      <c r="G35" s="1"/>
    </row>
    <row r="36" spans="1:7" x14ac:dyDescent="0.45">
      <c r="A36" s="1"/>
      <c r="B36" s="108" t="s">
        <v>242</v>
      </c>
      <c r="C36" s="109"/>
      <c r="D36" s="110"/>
      <c r="E36" s="9">
        <v>0</v>
      </c>
      <c r="F36" s="14"/>
      <c r="G36" s="1"/>
    </row>
    <row r="37" spans="1:7" x14ac:dyDescent="0.45">
      <c r="A37" s="1"/>
      <c r="B37" s="108" t="s">
        <v>113</v>
      </c>
      <c r="C37" s="109"/>
      <c r="D37" s="110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-968266.2209269125</v>
      </c>
      <c r="F37" s="14" t="s">
        <v>3</v>
      </c>
      <c r="G37" s="1"/>
    </row>
    <row r="38" spans="1:7" x14ac:dyDescent="0.45">
      <c r="A38" s="1"/>
      <c r="B38" s="108" t="s">
        <v>130</v>
      </c>
      <c r="C38" s="109"/>
      <c r="D38" s="110"/>
      <c r="E38" s="9">
        <v>2</v>
      </c>
      <c r="F38" s="14" t="s">
        <v>19</v>
      </c>
      <c r="G38" s="1"/>
    </row>
    <row r="39" spans="1:7" ht="15" customHeight="1" x14ac:dyDescent="0.45">
      <c r="A39" s="1"/>
      <c r="B39" s="111" t="s">
        <v>203</v>
      </c>
      <c r="C39" s="111"/>
      <c r="D39" s="111"/>
      <c r="E39" s="10">
        <f>E37/E38</f>
        <v>-484133.11046345625</v>
      </c>
      <c r="F39" s="17" t="s">
        <v>3</v>
      </c>
      <c r="G39" s="1"/>
    </row>
    <row r="40" spans="1:7" x14ac:dyDescent="0.45">
      <c r="A40" s="1"/>
      <c r="B40" s="94"/>
      <c r="C40" s="95"/>
      <c r="D40" s="95"/>
      <c r="E40" s="95"/>
      <c r="F40" s="96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1bdv0/rmynIKeJpt/J0DUz/EhqPaUDkAjGRmQYHDw58q7xwH+YnVT+m+thLpB8I5CSp+OWP3cdj+SRAJ3xr4JA==" saltValue="vuDICmxXb3rSn8TdikFtKg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1" t="s">
        <v>216</v>
      </c>
      <c r="C3" s="71"/>
      <c r="D3" s="71"/>
      <c r="E3" s="71"/>
      <c r="F3" s="71"/>
      <c r="G3" s="71"/>
      <c r="H3" s="71"/>
      <c r="I3" s="1"/>
    </row>
    <row r="4" spans="1:9" ht="15" customHeight="1" x14ac:dyDescent="0.4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197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1" t="s">
        <v>240</v>
      </c>
      <c r="C10" s="5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4" t="s">
        <v>198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215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5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214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119</v>
      </c>
      <c r="C8" s="95"/>
      <c r="D8" s="95"/>
      <c r="E8" s="95"/>
      <c r="F8" s="96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236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120</v>
      </c>
      <c r="C16" s="95"/>
      <c r="D16" s="95"/>
      <c r="E16" s="95"/>
      <c r="F16" s="96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236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121</v>
      </c>
      <c r="C24" s="95"/>
      <c r="D24" s="95"/>
      <c r="E24" s="95"/>
      <c r="F24" s="96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236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176</v>
      </c>
      <c r="C32" s="95"/>
      <c r="D32" s="95"/>
      <c r="E32" s="95"/>
      <c r="F32" s="96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236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213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45">
      <c r="A9" s="1"/>
      <c r="B9" s="41" t="s">
        <v>157</v>
      </c>
      <c r="C9" s="91" t="s">
        <v>11</v>
      </c>
      <c r="D9" s="93"/>
      <c r="E9" s="91" t="s">
        <v>34</v>
      </c>
      <c r="F9" s="93"/>
      <c r="G9" s="1"/>
    </row>
    <row r="10" spans="1:7" x14ac:dyDescent="0.4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212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111</v>
      </c>
      <c r="C8" s="95"/>
      <c r="D8" s="95"/>
      <c r="E8" s="95"/>
      <c r="F8" s="96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4" t="s">
        <v>110</v>
      </c>
      <c r="C15" s="95"/>
      <c r="D15" s="95"/>
      <c r="E15" s="95"/>
      <c r="F15" s="96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4" t="s">
        <v>112</v>
      </c>
      <c r="C22" s="95"/>
      <c r="D22" s="95"/>
      <c r="E22" s="95"/>
      <c r="F22" s="96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4" t="s">
        <v>182</v>
      </c>
      <c r="C29" s="95"/>
      <c r="D29" s="95"/>
      <c r="E29" s="95"/>
      <c r="F29" s="96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1" t="s">
        <v>211</v>
      </c>
      <c r="C3" s="81"/>
      <c r="D3" s="1"/>
    </row>
    <row r="4" spans="1:4" ht="25.5" customHeight="1" x14ac:dyDescent="0.45">
      <c r="A4" s="1"/>
      <c r="B4" s="81"/>
      <c r="C4" s="8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4"/>
      <c r="C14" s="96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161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5073622.9088450791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61898.199487909973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-23479.717076988458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-60886.534858291758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-69879.322778122601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4981275.5336195854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omk.'!C13</f>
        <v>3189388.7779059601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-484133.11046345625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7686531.2010620898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162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/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4981275.5336195854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60771.561510158943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-23052.351803286896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-60396.763571891657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-68786.724626825278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4889811.2551277401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omk.'!C13*(1+'Fane 12. Nøgletal'!C13)</f>
        <v>3228299.320996413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-484133.11046345625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7633977.4656606968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163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 t="s">
        <v>21</v>
      </c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4889811.2551277401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59655.697312558434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-22629.073325516016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-59910.932005719369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-67711.209793922535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4799215.7373151407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omk.'!C13*(1+'Fane 12. Nøgletal'!C13)^2</f>
        <v>3267684.572712569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8066900.3100277092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164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 t="s">
        <v>21</v>
      </c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4799215.7373151407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58550.431995244719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-22209.815299269187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-59429.008468665357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-66652.511173189661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4709474.8343692617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omk.'!C13*(1+'Fane 12. Nøgletal'!C13)^3</f>
        <v>3307550.3244996625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239</v>
      </c>
      <c r="C22" s="12">
        <f>SUM(C15,C17,C21)</f>
        <v>8017025.1588689238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180</v>
      </c>
      <c r="C3" s="81"/>
      <c r="D3" s="81"/>
      <c r="E3" s="81"/>
      <c r="F3" s="81"/>
      <c r="G3" s="1"/>
    </row>
    <row r="4" spans="1:7" ht="29.2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2" t="s">
        <v>23</v>
      </c>
      <c r="C9" s="83"/>
      <c r="D9" s="84"/>
      <c r="E9" s="7">
        <v>5174826.7424339801</v>
      </c>
      <c r="F9" s="8" t="s">
        <v>3</v>
      </c>
      <c r="G9" s="1"/>
    </row>
    <row r="10" spans="1:7" ht="15" customHeight="1" x14ac:dyDescent="0.45">
      <c r="A10" s="1"/>
      <c r="B10" s="73" t="s">
        <v>45</v>
      </c>
      <c r="C10" s="74"/>
      <c r="D10" s="75"/>
      <c r="E10" s="7">
        <v>0</v>
      </c>
      <c r="F10" s="8" t="s">
        <v>3</v>
      </c>
      <c r="G10" s="1"/>
    </row>
    <row r="11" spans="1:7" ht="15" customHeight="1" x14ac:dyDescent="0.45">
      <c r="A11" s="1"/>
      <c r="B11" s="73" t="s">
        <v>46</v>
      </c>
      <c r="C11" s="74"/>
      <c r="D11" s="75"/>
      <c r="E11" s="9">
        <v>0</v>
      </c>
      <c r="F11" s="8" t="s">
        <v>3</v>
      </c>
      <c r="G11" s="1"/>
    </row>
    <row r="12" spans="1:7" x14ac:dyDescent="0.45">
      <c r="A12" s="1"/>
      <c r="B12" s="73" t="s">
        <v>30</v>
      </c>
      <c r="C12" s="74"/>
      <c r="D12" s="75"/>
      <c r="E12" s="9">
        <v>0</v>
      </c>
      <c r="F12" s="8" t="s">
        <v>3</v>
      </c>
      <c r="G12" s="1"/>
    </row>
    <row r="13" spans="1:7" x14ac:dyDescent="0.45">
      <c r="A13" s="1"/>
      <c r="B13" s="73" t="s">
        <v>29</v>
      </c>
      <c r="C13" s="74"/>
      <c r="D13" s="75"/>
      <c r="E13" s="9">
        <v>0</v>
      </c>
      <c r="F13" s="8" t="s">
        <v>3</v>
      </c>
      <c r="G13" s="1"/>
    </row>
    <row r="14" spans="1:7" x14ac:dyDescent="0.45">
      <c r="A14" s="1"/>
      <c r="B14" s="73" t="s">
        <v>159</v>
      </c>
      <c r="C14" s="74"/>
      <c r="D14" s="75"/>
      <c r="E14" s="9">
        <v>0</v>
      </c>
      <c r="F14" s="8" t="s">
        <v>3</v>
      </c>
      <c r="G14" s="1"/>
    </row>
    <row r="15" spans="1:7" x14ac:dyDescent="0.45">
      <c r="A15" s="1"/>
      <c r="B15" s="73" t="s">
        <v>160</v>
      </c>
      <c r="C15" s="74"/>
      <c r="D15" s="75"/>
      <c r="E15" s="9">
        <v>0</v>
      </c>
      <c r="F15" s="8" t="s">
        <v>3</v>
      </c>
      <c r="G15" s="1"/>
    </row>
    <row r="16" spans="1:7" x14ac:dyDescent="0.45">
      <c r="A16" s="1"/>
      <c r="B16" s="73" t="s">
        <v>18</v>
      </c>
      <c r="C16" s="74"/>
      <c r="D16" s="75"/>
      <c r="E16" s="9">
        <f>E9*'Fane 12. Nøgletal'!C11+SUM(E10:E15)*'Fane 12. Nøgletal'!C12</f>
        <v>87454.57194713426</v>
      </c>
      <c r="F16" s="8" t="s">
        <v>3</v>
      </c>
      <c r="G16" s="1"/>
    </row>
    <row r="17" spans="1:7" x14ac:dyDescent="0.45">
      <c r="A17" s="1"/>
      <c r="B17" s="73" t="s">
        <v>9</v>
      </c>
      <c r="C17" s="74"/>
      <c r="D17" s="75"/>
      <c r="E17" s="9">
        <f>-SUM(E9:E16)*'Fane 5. Individuelt eff. krav'!G9</f>
        <v>-105245.62628762229</v>
      </c>
      <c r="F17" s="8" t="s">
        <v>3</v>
      </c>
      <c r="G17" s="1"/>
    </row>
    <row r="18" spans="1:7" x14ac:dyDescent="0.45">
      <c r="A18" s="1"/>
      <c r="B18" s="73" t="s">
        <v>27</v>
      </c>
      <c r="C18" s="74"/>
      <c r="D18" s="75"/>
      <c r="E18" s="9">
        <f>-'Fane 4.1. Gen. krav - drift'!G25</f>
        <v>-61380.277813019689</v>
      </c>
      <c r="F18" s="8" t="s">
        <v>3</v>
      </c>
      <c r="G18" s="1"/>
    </row>
    <row r="19" spans="1:7" x14ac:dyDescent="0.45">
      <c r="A19" s="1"/>
      <c r="B19" s="73" t="s">
        <v>28</v>
      </c>
      <c r="C19" s="74"/>
      <c r="D19" s="75"/>
      <c r="E19" s="9">
        <f>-'Fane 4.2. Gen. krav - anlæg'!G25</f>
        <v>-22032.501435393624</v>
      </c>
      <c r="F19" s="8" t="s">
        <v>3</v>
      </c>
      <c r="G19" s="1"/>
    </row>
    <row r="20" spans="1:7" x14ac:dyDescent="0.45">
      <c r="A20" s="1"/>
      <c r="B20" s="88" t="s">
        <v>20</v>
      </c>
      <c r="C20" s="89"/>
      <c r="D20" s="90"/>
      <c r="E20" s="10">
        <f>SUM(E9:E19)</f>
        <v>5073622.9088450791</v>
      </c>
      <c r="F20" s="11" t="s">
        <v>3</v>
      </c>
      <c r="G20" s="1"/>
    </row>
    <row r="21" spans="1:7" x14ac:dyDescent="0.45">
      <c r="A21" s="1"/>
      <c r="B21" s="76" t="s">
        <v>12</v>
      </c>
      <c r="C21" s="77"/>
      <c r="D21" s="77"/>
      <c r="E21" s="46"/>
      <c r="F21" s="20"/>
      <c r="G21" s="1"/>
    </row>
    <row r="22" spans="1:7" x14ac:dyDescent="0.45">
      <c r="A22" s="1"/>
      <c r="B22" s="78" t="s">
        <v>12</v>
      </c>
      <c r="C22" s="79"/>
      <c r="D22" s="80"/>
      <c r="E22" s="10">
        <v>2537601.79385691</v>
      </c>
      <c r="F22" s="11" t="s">
        <v>3</v>
      </c>
      <c r="G22" s="1"/>
    </row>
    <row r="23" spans="1:7" ht="15" customHeight="1" x14ac:dyDescent="0.45">
      <c r="A23" s="1"/>
      <c r="B23" s="76" t="s">
        <v>99</v>
      </c>
      <c r="C23" s="77"/>
      <c r="D23" s="77"/>
      <c r="E23" s="46"/>
      <c r="F23" s="46"/>
      <c r="G23" s="1"/>
    </row>
    <row r="24" spans="1:7" ht="14.25" customHeight="1" x14ac:dyDescent="0.45">
      <c r="A24" s="1"/>
      <c r="B24" s="85" t="s">
        <v>95</v>
      </c>
      <c r="C24" s="86"/>
      <c r="D24" s="87"/>
      <c r="E24" s="9">
        <v>0</v>
      </c>
      <c r="F24" s="8" t="s">
        <v>3</v>
      </c>
      <c r="G24" s="1"/>
    </row>
    <row r="25" spans="1:7" ht="14.25" customHeight="1" x14ac:dyDescent="0.45">
      <c r="A25" s="1"/>
      <c r="B25" s="85" t="s">
        <v>96</v>
      </c>
      <c r="C25" s="86"/>
      <c r="D25" s="87"/>
      <c r="E25" s="9">
        <v>0</v>
      </c>
      <c r="F25" s="8" t="s">
        <v>3</v>
      </c>
      <c r="G25" s="1"/>
    </row>
    <row r="26" spans="1:7" x14ac:dyDescent="0.45">
      <c r="A26" s="1"/>
      <c r="B26" s="91" t="s">
        <v>100</v>
      </c>
      <c r="C26" s="92"/>
      <c r="D26" s="92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1" t="s">
        <v>229</v>
      </c>
      <c r="C28" s="92"/>
      <c r="D28" s="93"/>
      <c r="E28" s="10">
        <v>0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1" t="s">
        <v>231</v>
      </c>
      <c r="C30" s="92"/>
      <c r="D30" s="93"/>
      <c r="E30" s="10">
        <v>168289.14695727229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78" t="s">
        <v>233</v>
      </c>
      <c r="C32" s="79"/>
      <c r="D32" s="80"/>
      <c r="E32" s="10">
        <v>0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7779513.8496592613</v>
      </c>
      <c r="F33" s="13" t="s">
        <v>3</v>
      </c>
      <c r="G33" s="1"/>
    </row>
    <row r="34" spans="1:7" ht="28.15" customHeight="1" x14ac:dyDescent="0.45">
      <c r="A34" s="1"/>
      <c r="B34" s="85" t="s">
        <v>179</v>
      </c>
      <c r="C34" s="86"/>
      <c r="D34" s="86"/>
      <c r="E34" s="86"/>
      <c r="F34" s="8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1" t="s">
        <v>138</v>
      </c>
      <c r="C1" s="71"/>
      <c r="D1" s="71"/>
      <c r="E1" s="71"/>
      <c r="F1" s="71"/>
      <c r="G1" s="71"/>
      <c r="H1" s="71"/>
      <c r="I1" s="1"/>
    </row>
    <row r="2" spans="1:9" ht="15" customHeight="1" x14ac:dyDescent="0.45">
      <c r="A2" s="1"/>
      <c r="B2" s="71"/>
      <c r="C2" s="71"/>
      <c r="D2" s="71"/>
      <c r="E2" s="71"/>
      <c r="F2" s="71"/>
      <c r="G2" s="71"/>
      <c r="H2" s="71"/>
      <c r="I2" s="1"/>
    </row>
    <row r="3" spans="1:9" ht="15" customHeight="1" x14ac:dyDescent="0.45">
      <c r="A3" s="1"/>
      <c r="B3" s="71"/>
      <c r="C3" s="71"/>
      <c r="D3" s="71"/>
      <c r="E3" s="71"/>
      <c r="F3" s="71"/>
      <c r="G3" s="71"/>
      <c r="H3" s="71"/>
      <c r="I3" s="1"/>
    </row>
    <row r="4" spans="1:9" x14ac:dyDescent="0.45">
      <c r="A4" s="1"/>
      <c r="B4" s="94" t="s">
        <v>64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97" t="s">
        <v>53</v>
      </c>
      <c r="C5" s="98"/>
      <c r="D5" s="98"/>
      <c r="E5" s="98"/>
      <c r="F5" s="99"/>
      <c r="G5" s="24">
        <v>3113747.0018212935</v>
      </c>
      <c r="H5" s="14" t="s">
        <v>3</v>
      </c>
      <c r="I5" s="1"/>
    </row>
    <row r="6" spans="1:9" x14ac:dyDescent="0.45">
      <c r="A6" s="1"/>
      <c r="B6" s="97" t="s">
        <v>54</v>
      </c>
      <c r="C6" s="98"/>
      <c r="D6" s="98"/>
      <c r="E6" s="98"/>
      <c r="F6" s="99"/>
      <c r="G6" s="24">
        <f>G5*'Fane 12. Nøgletal'!C27</f>
        <v>62274.940036425869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65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97" t="s">
        <v>55</v>
      </c>
      <c r="C10" s="98"/>
      <c r="D10" s="98"/>
      <c r="E10" s="98"/>
      <c r="F10" s="99"/>
      <c r="G10" s="24">
        <f>(G5-G6)*(1+'Fane 12. Nøgletal'!C9)</f>
        <v>3090225.7569695353</v>
      </c>
      <c r="H10" s="14" t="s">
        <v>3</v>
      </c>
      <c r="I10" s="1"/>
    </row>
    <row r="11" spans="1:9" x14ac:dyDescent="0.45">
      <c r="A11" s="1"/>
      <c r="B11" s="100" t="s">
        <v>56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45">
      <c r="A12" s="1"/>
      <c r="B12" s="97" t="s">
        <v>57</v>
      </c>
      <c r="C12" s="98"/>
      <c r="D12" s="98"/>
      <c r="E12" s="98"/>
      <c r="F12" s="99"/>
      <c r="G12" s="24">
        <f>(G10+G11)*'Fane 12. Nøgletal'!C27</f>
        <v>61804.515139390707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4" t="s">
        <v>66</v>
      </c>
      <c r="C15" s="95"/>
      <c r="D15" s="95"/>
      <c r="E15" s="95"/>
      <c r="F15" s="95"/>
      <c r="G15" s="95"/>
      <c r="H15" s="96"/>
      <c r="I15" s="1"/>
    </row>
    <row r="16" spans="1:9" x14ac:dyDescent="0.45">
      <c r="A16" s="1"/>
      <c r="B16" s="97" t="s">
        <v>58</v>
      </c>
      <c r="C16" s="98"/>
      <c r="D16" s="98"/>
      <c r="E16" s="98"/>
      <c r="F16" s="99"/>
      <c r="G16" s="24">
        <f>(G10-G12)*(1+'Fane 12. Nøgletal'!C11)</f>
        <v>3079601.5608170736</v>
      </c>
      <c r="H16" s="14" t="s">
        <v>3</v>
      </c>
      <c r="I16" s="1"/>
    </row>
    <row r="17" spans="1:9" x14ac:dyDescent="0.45">
      <c r="A17" s="1"/>
      <c r="B17" s="97" t="s">
        <v>148</v>
      </c>
      <c r="C17" s="98"/>
      <c r="D17" s="98"/>
      <c r="E17" s="98"/>
      <c r="F17" s="99"/>
      <c r="G17" s="24">
        <v>0</v>
      </c>
      <c r="H17" s="14" t="s">
        <v>3</v>
      </c>
      <c r="I17" s="1"/>
    </row>
    <row r="18" spans="1:9" x14ac:dyDescent="0.45">
      <c r="A18" s="1"/>
      <c r="B18" s="100" t="s">
        <v>59</v>
      </c>
      <c r="C18" s="101"/>
      <c r="D18" s="101"/>
      <c r="E18" s="101"/>
      <c r="F18" s="102"/>
      <c r="G18" s="24">
        <v>0</v>
      </c>
      <c r="H18" s="14" t="s">
        <v>3</v>
      </c>
      <c r="I18" s="1"/>
    </row>
    <row r="19" spans="1:9" x14ac:dyDescent="0.45">
      <c r="A19" s="1"/>
      <c r="B19" s="97" t="s">
        <v>60</v>
      </c>
      <c r="C19" s="98"/>
      <c r="D19" s="98"/>
      <c r="E19" s="98"/>
      <c r="F19" s="99"/>
      <c r="G19" s="24">
        <f>SUM(G16:G18)*'Fane 12. Nøgletal'!C27</f>
        <v>61592.031216341471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67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97" t="s">
        <v>61</v>
      </c>
      <c r="C23" s="98"/>
      <c r="D23" s="98"/>
      <c r="E23" s="98"/>
      <c r="F23" s="99"/>
      <c r="G23" s="24">
        <f>(SUM(G16:G18)-G19)*(1+'Fane 12. Nøgletal'!C11)</f>
        <v>3069013.8906509844</v>
      </c>
      <c r="H23" s="14" t="s">
        <v>3</v>
      </c>
      <c r="I23" s="1"/>
    </row>
    <row r="24" spans="1:9" x14ac:dyDescent="0.45">
      <c r="A24" s="1"/>
      <c r="B24" s="100" t="s">
        <v>62</v>
      </c>
      <c r="C24" s="101"/>
      <c r="D24" s="101"/>
      <c r="E24" s="101"/>
      <c r="F24" s="102"/>
      <c r="G24" s="24">
        <v>0</v>
      </c>
      <c r="H24" s="14" t="s">
        <v>3</v>
      </c>
      <c r="I24" s="1"/>
    </row>
    <row r="25" spans="1:9" x14ac:dyDescent="0.45">
      <c r="A25" s="1"/>
      <c r="B25" s="97" t="s">
        <v>63</v>
      </c>
      <c r="C25" s="98"/>
      <c r="D25" s="98"/>
      <c r="E25" s="98"/>
      <c r="F25" s="99"/>
      <c r="G25" s="24">
        <f>(G23+G24)*'Fane 12. Nøgletal'!C27</f>
        <v>61380.277813019689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222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97" t="s">
        <v>70</v>
      </c>
      <c r="C29" s="98"/>
      <c r="D29" s="98"/>
      <c r="E29" s="98"/>
      <c r="F29" s="99"/>
      <c r="G29" s="24">
        <f>(G23+G24-G25)*(1+'Fane 12. Nøgletal'!C13)</f>
        <v>3044326.7429145877</v>
      </c>
      <c r="H29" s="14" t="s">
        <v>3</v>
      </c>
      <c r="I29" s="1"/>
    </row>
    <row r="30" spans="1:9" x14ac:dyDescent="0.45">
      <c r="A30" s="1"/>
      <c r="B30" s="97" t="s">
        <v>187</v>
      </c>
      <c r="C30" s="98"/>
      <c r="D30" s="98"/>
      <c r="E30" s="98"/>
      <c r="F30" s="99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7" t="s">
        <v>199</v>
      </c>
      <c r="C31" s="98"/>
      <c r="D31" s="98"/>
      <c r="E31" s="98"/>
      <c r="F31" s="99"/>
      <c r="G31" s="24">
        <f>(G29+G30)*'Fane 12. Nøgletal'!C27</f>
        <v>60886.534858291758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223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97" t="s">
        <v>90</v>
      </c>
      <c r="C35" s="98"/>
      <c r="D35" s="98"/>
      <c r="E35" s="98"/>
      <c r="F35" s="99"/>
      <c r="G35" s="24">
        <f>(G29+G30-G31)*(1+'Fane 12. Nøgletal'!C13)</f>
        <v>3019838.1785945827</v>
      </c>
      <c r="H35" s="14" t="s">
        <v>3</v>
      </c>
      <c r="I35" s="1"/>
    </row>
    <row r="36" spans="1:9" x14ac:dyDescent="0.45">
      <c r="A36" s="1"/>
      <c r="B36" s="97" t="s">
        <v>102</v>
      </c>
      <c r="C36" s="98"/>
      <c r="D36" s="98"/>
      <c r="E36" s="98"/>
      <c r="F36" s="99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7" t="s">
        <v>224</v>
      </c>
      <c r="C37" s="98"/>
      <c r="D37" s="98"/>
      <c r="E37" s="98"/>
      <c r="F37" s="99"/>
      <c r="G37" s="24">
        <f>(G35+G36)*'Fane 12. Nøgletal'!C27</f>
        <v>60396.763571891657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91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97" t="s">
        <v>89</v>
      </c>
      <c r="C41" s="98"/>
      <c r="D41" s="98"/>
      <c r="E41" s="98"/>
      <c r="F41" s="99"/>
      <c r="G41" s="24">
        <f>(G35+G36-G37)*(1+'Fane 12. Nøgletal'!C13)</f>
        <v>2995546.6002859683</v>
      </c>
      <c r="H41" s="14" t="s">
        <v>3</v>
      </c>
      <c r="I41" s="1"/>
    </row>
    <row r="42" spans="1:9" x14ac:dyDescent="0.45">
      <c r="A42" s="1"/>
      <c r="B42" s="97" t="s">
        <v>103</v>
      </c>
      <c r="C42" s="98"/>
      <c r="D42" s="98"/>
      <c r="E42" s="98"/>
      <c r="F42" s="99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7" t="s">
        <v>71</v>
      </c>
      <c r="C43" s="98"/>
      <c r="D43" s="98"/>
      <c r="E43" s="98"/>
      <c r="F43" s="99"/>
      <c r="G43" s="24">
        <f>(G41+G42)*'Fane 12. Nøgletal'!C27</f>
        <v>59910.932005719369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4" t="s">
        <v>188</v>
      </c>
      <c r="C46" s="95"/>
      <c r="D46" s="95"/>
      <c r="E46" s="95"/>
      <c r="F46" s="95"/>
      <c r="G46" s="95"/>
      <c r="H46" s="96"/>
      <c r="I46" s="1"/>
    </row>
    <row r="47" spans="1:9" x14ac:dyDescent="0.45">
      <c r="A47" s="1"/>
      <c r="B47" s="97" t="s">
        <v>189</v>
      </c>
      <c r="C47" s="98"/>
      <c r="D47" s="98"/>
      <c r="E47" s="98"/>
      <c r="F47" s="99"/>
      <c r="G47" s="24">
        <f>(G41+G42-G43)*(1+'Fane 12. Nøgletal'!C13)</f>
        <v>2971450.423433268</v>
      </c>
      <c r="H47" s="14" t="s">
        <v>3</v>
      </c>
      <c r="I47" s="1"/>
    </row>
    <row r="48" spans="1:9" x14ac:dyDescent="0.45">
      <c r="A48" s="1"/>
      <c r="B48" s="97" t="s">
        <v>190</v>
      </c>
      <c r="C48" s="98"/>
      <c r="D48" s="98"/>
      <c r="E48" s="98"/>
      <c r="F48" s="99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7" t="s">
        <v>191</v>
      </c>
      <c r="C49" s="98"/>
      <c r="D49" s="98"/>
      <c r="E49" s="98"/>
      <c r="F49" s="99"/>
      <c r="G49" s="24">
        <f>(G47+G48)*'Fane 12. Nøgletal'!C27</f>
        <v>59429.008468665357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3" t="s">
        <v>139</v>
      </c>
      <c r="C2" s="103"/>
      <c r="D2" s="103"/>
      <c r="E2" s="103"/>
      <c r="F2" s="103"/>
      <c r="G2" s="103"/>
      <c r="H2" s="103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4" t="s">
        <v>68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97" t="s">
        <v>72</v>
      </c>
      <c r="C5" s="98"/>
      <c r="D5" s="98"/>
      <c r="E5" s="98"/>
      <c r="F5" s="99"/>
      <c r="G5" s="24">
        <v>2475756.0547162858</v>
      </c>
      <c r="H5" s="14" t="s">
        <v>3</v>
      </c>
      <c r="I5" s="1"/>
    </row>
    <row r="6" spans="1:9" x14ac:dyDescent="0.45">
      <c r="A6" s="1"/>
      <c r="B6" s="97" t="s">
        <v>69</v>
      </c>
      <c r="C6" s="98"/>
      <c r="D6" s="98"/>
      <c r="E6" s="98"/>
      <c r="F6" s="99"/>
      <c r="G6" s="24">
        <f>G5*'Fane 12. Nøgletal'!C18</f>
        <v>22529.380097918201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73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97" t="s">
        <v>74</v>
      </c>
      <c r="C10" s="98"/>
      <c r="D10" s="98"/>
      <c r="E10" s="98"/>
      <c r="F10" s="99"/>
      <c r="G10" s="24">
        <f>(G5-G6)*(1+'Fane 12. Nøgletal'!C9)</f>
        <v>2484382.6533860206</v>
      </c>
      <c r="H10" s="14" t="s">
        <v>3</v>
      </c>
      <c r="I10" s="1"/>
    </row>
    <row r="11" spans="1:9" x14ac:dyDescent="0.45">
      <c r="A11" s="1"/>
      <c r="B11" s="100" t="s">
        <v>75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45">
      <c r="A12" s="1"/>
      <c r="B12" s="97" t="s">
        <v>76</v>
      </c>
      <c r="C12" s="98"/>
      <c r="D12" s="98"/>
      <c r="E12" s="98"/>
      <c r="F12" s="99"/>
      <c r="G12" s="24">
        <f>G10*'Fane 12. Nøgletal'!C18+G11*'Fane 12. Nøgletal'!C19</f>
        <v>22607.88214581279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4" t="s">
        <v>77</v>
      </c>
      <c r="C15" s="95"/>
      <c r="D15" s="95"/>
      <c r="E15" s="95"/>
      <c r="F15" s="95"/>
      <c r="G15" s="95"/>
      <c r="H15" s="96"/>
      <c r="I15" s="1"/>
    </row>
    <row r="16" spans="1:9" x14ac:dyDescent="0.45">
      <c r="A16" s="1"/>
      <c r="B16" s="97" t="s">
        <v>78</v>
      </c>
      <c r="C16" s="98"/>
      <c r="D16" s="98"/>
      <c r="E16" s="98"/>
      <c r="F16" s="99"/>
      <c r="G16" s="24">
        <f>(G10+G11-G12)*(1+'Fane 12. Nøgletal'!C11)</f>
        <v>2503378.7648741673</v>
      </c>
      <c r="H16" s="14" t="s">
        <v>3</v>
      </c>
      <c r="I16" s="1"/>
    </row>
    <row r="17" spans="1:9" x14ac:dyDescent="0.45">
      <c r="A17" s="1"/>
      <c r="B17" s="97" t="s">
        <v>149</v>
      </c>
      <c r="C17" s="98"/>
      <c r="D17" s="98"/>
      <c r="E17" s="98"/>
      <c r="F17" s="99"/>
      <c r="G17" s="24">
        <v>8861.6676455542656</v>
      </c>
      <c r="H17" s="14" t="s">
        <v>3</v>
      </c>
      <c r="I17" s="1"/>
    </row>
    <row r="18" spans="1:9" x14ac:dyDescent="0.45">
      <c r="A18" s="1"/>
      <c r="B18" s="100" t="s">
        <v>79</v>
      </c>
      <c r="C18" s="101"/>
      <c r="D18" s="101"/>
      <c r="E18" s="101"/>
      <c r="F18" s="102"/>
      <c r="G18" s="24">
        <v>0</v>
      </c>
      <c r="H18" s="14" t="s">
        <v>3</v>
      </c>
      <c r="I18" s="1"/>
    </row>
    <row r="19" spans="1:9" x14ac:dyDescent="0.45">
      <c r="A19" s="1"/>
      <c r="B19" s="97" t="s">
        <v>80</v>
      </c>
      <c r="C19" s="98"/>
      <c r="D19" s="98"/>
      <c r="E19" s="98"/>
      <c r="F19" s="99"/>
      <c r="G19" s="24">
        <f>SUM(G16:G18)*'Fane 12. Nøgletal'!C20</f>
        <v>21856.491762921574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81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97" t="s">
        <v>82</v>
      </c>
      <c r="C23" s="98"/>
      <c r="D23" s="98"/>
      <c r="E23" s="98"/>
      <c r="F23" s="99"/>
      <c r="G23" s="24">
        <f>(SUM(G16:G18)-G19)*(1+'Fane 12. Nøgletal'!C11)</f>
        <v>2532471.4293555892</v>
      </c>
      <c r="H23" s="14" t="s">
        <v>3</v>
      </c>
      <c r="I23" s="1"/>
    </row>
    <row r="24" spans="1:9" x14ac:dyDescent="0.45">
      <c r="A24" s="1"/>
      <c r="B24" s="100" t="s">
        <v>83</v>
      </c>
      <c r="C24" s="101"/>
      <c r="D24" s="101"/>
      <c r="E24" s="101"/>
      <c r="F24" s="102"/>
      <c r="G24" s="24">
        <v>0</v>
      </c>
      <c r="H24" s="14" t="s">
        <v>3</v>
      </c>
      <c r="I24" s="1"/>
    </row>
    <row r="25" spans="1:9" x14ac:dyDescent="0.45">
      <c r="A25" s="1"/>
      <c r="B25" s="97" t="s">
        <v>84</v>
      </c>
      <c r="C25" s="98"/>
      <c r="D25" s="98"/>
      <c r="E25" s="98"/>
      <c r="F25" s="99"/>
      <c r="G25" s="24">
        <f>G23*'Fane 12. Nøgletal'!C20+G24*'Fane 12. Nøgletal'!C21</f>
        <v>22032.501435393624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220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97" t="s">
        <v>85</v>
      </c>
      <c r="C29" s="98"/>
      <c r="D29" s="98"/>
      <c r="E29" s="98"/>
      <c r="F29" s="99"/>
      <c r="G29" s="24">
        <f>(G23+G24-G25)*(1+'Fane 12. Nøgletal'!C13)</f>
        <v>2541066.2828408219</v>
      </c>
      <c r="H29" s="14" t="s">
        <v>3</v>
      </c>
      <c r="I29" s="1"/>
    </row>
    <row r="30" spans="1:9" x14ac:dyDescent="0.45">
      <c r="A30" s="1"/>
      <c r="B30" s="97" t="s">
        <v>192</v>
      </c>
      <c r="C30" s="98"/>
      <c r="D30" s="98"/>
      <c r="E30" s="98"/>
      <c r="F30" s="99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7" t="s">
        <v>221</v>
      </c>
      <c r="C31" s="98"/>
      <c r="D31" s="98"/>
      <c r="E31" s="98"/>
      <c r="F31" s="99"/>
      <c r="G31" s="24">
        <f>(G29+G30)*'Fane 12. Nøgletal'!C22</f>
        <v>69879.322778122601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225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97" t="s">
        <v>88</v>
      </c>
      <c r="C35" s="98"/>
      <c r="D35" s="98"/>
      <c r="E35" s="98"/>
      <c r="F35" s="99"/>
      <c r="G35" s="24">
        <f>(G29+G30-G31)*(1+'Fane 12. Nøgletal'!C13)</f>
        <v>2501335.4409754644</v>
      </c>
      <c r="H35" s="14" t="s">
        <v>3</v>
      </c>
      <c r="I35" s="1"/>
    </row>
    <row r="36" spans="1:9" x14ac:dyDescent="0.45">
      <c r="A36" s="1"/>
      <c r="B36" s="97" t="s">
        <v>107</v>
      </c>
      <c r="C36" s="98"/>
      <c r="D36" s="98"/>
      <c r="E36" s="98"/>
      <c r="F36" s="99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7" t="s">
        <v>226</v>
      </c>
      <c r="C37" s="98"/>
      <c r="D37" s="98"/>
      <c r="E37" s="98"/>
      <c r="F37" s="99"/>
      <c r="G37" s="24">
        <f>(G35+G36)*'Fane 12. Nøgletal'!C22</f>
        <v>68786.724626825278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92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97" t="s">
        <v>87</v>
      </c>
      <c r="C41" s="98"/>
      <c r="D41" s="98"/>
      <c r="E41" s="98"/>
      <c r="F41" s="99"/>
      <c r="G41" s="24">
        <f>(G35+G36-G37)*(1+'Fane 12. Nøgletal'!C13)</f>
        <v>2462225.8106880924</v>
      </c>
      <c r="H41" s="14" t="s">
        <v>3</v>
      </c>
      <c r="I41" s="1"/>
    </row>
    <row r="42" spans="1:9" x14ac:dyDescent="0.45">
      <c r="A42" s="1"/>
      <c r="B42" s="97" t="s">
        <v>108</v>
      </c>
      <c r="C42" s="98"/>
      <c r="D42" s="98"/>
      <c r="E42" s="98"/>
      <c r="F42" s="99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7" t="s">
        <v>86</v>
      </c>
      <c r="C43" s="98"/>
      <c r="D43" s="98"/>
      <c r="E43" s="98"/>
      <c r="F43" s="99"/>
      <c r="G43" s="24">
        <f>(G41+G42)*'Fane 12. Nøgletal'!C22</f>
        <v>67711.209793922535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4" t="s">
        <v>193</v>
      </c>
      <c r="C46" s="95"/>
      <c r="D46" s="95"/>
      <c r="E46" s="95"/>
      <c r="F46" s="95"/>
      <c r="G46" s="95"/>
      <c r="H46" s="96"/>
      <c r="I46" s="1"/>
    </row>
    <row r="47" spans="1:9" x14ac:dyDescent="0.45">
      <c r="A47" s="1"/>
      <c r="B47" s="97" t="s">
        <v>194</v>
      </c>
      <c r="C47" s="98"/>
      <c r="D47" s="98"/>
      <c r="E47" s="98"/>
      <c r="F47" s="99"/>
      <c r="G47" s="24">
        <f>(G41+G42-G43)*(1+'Fane 12. Nøgletal'!C13)</f>
        <v>2423727.6790250787</v>
      </c>
      <c r="H47" s="14" t="s">
        <v>3</v>
      </c>
      <c r="I47" s="1"/>
    </row>
    <row r="48" spans="1:9" x14ac:dyDescent="0.45">
      <c r="A48" s="1"/>
      <c r="B48" s="97" t="s">
        <v>195</v>
      </c>
      <c r="C48" s="98"/>
      <c r="D48" s="98"/>
      <c r="E48" s="98"/>
      <c r="F48" s="99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7" t="s">
        <v>196</v>
      </c>
      <c r="C49" s="98"/>
      <c r="D49" s="98"/>
      <c r="E49" s="98"/>
      <c r="F49" s="99"/>
      <c r="G49" s="24">
        <f>(G47+G48)*'Fane 12. Nøgletal'!C22</f>
        <v>66652.511173189661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1" t="s">
        <v>101</v>
      </c>
      <c r="C3" s="71"/>
      <c r="D3" s="71"/>
      <c r="E3" s="71"/>
      <c r="F3" s="71"/>
      <c r="G3" s="71"/>
      <c r="H3" s="71"/>
      <c r="I3" s="1"/>
    </row>
    <row r="4" spans="1:9" ht="15" customHeight="1" x14ac:dyDescent="0.4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9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97" t="s">
        <v>124</v>
      </c>
      <c r="C9" s="98"/>
      <c r="D9" s="98"/>
      <c r="E9" s="98"/>
      <c r="F9" s="99"/>
      <c r="G9" s="23">
        <v>0.02</v>
      </c>
      <c r="H9" s="14"/>
      <c r="I9" s="1"/>
    </row>
    <row r="10" spans="1:9" x14ac:dyDescent="0.45">
      <c r="A10" s="1"/>
      <c r="B10" s="97" t="s">
        <v>181</v>
      </c>
      <c r="C10" s="98"/>
      <c r="D10" s="98"/>
      <c r="E10" s="98"/>
      <c r="F10" s="99"/>
      <c r="G10" s="23">
        <v>4.5720223092628022E-3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4" t="s">
        <v>227</v>
      </c>
      <c r="C13" s="104"/>
      <c r="D13" s="104"/>
      <c r="E13" s="104"/>
      <c r="F13" s="104"/>
      <c r="G13" s="104"/>
      <c r="H13" s="104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2020-10-20T06:10:42Z</dcterms:modified>
</cp:coreProperties>
</file>