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codeName="Denne_projektmappe" defaultThemeVersion="124226"/>
  <mc:AlternateContent xmlns:mc="http://schemas.openxmlformats.org/markup-compatibility/2006">
    <mc:Choice Requires="x15">
      <x15ac:absPath xmlns:x15ac="http://schemas.microsoft.com/office/spreadsheetml/2010/11/ac" url="E:\VAND\Sagsbehandling\Spildevand\Aalborg Kloak AS (S109)\ØR2025\"/>
    </mc:Choice>
  </mc:AlternateContent>
  <xr:revisionPtr revIDLastSave="0" documentId="13_ncr:1_{15EE5FFC-E4F4-4826-9620-DFA0A2FA8407}"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22"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3" r:id="rId11"/>
    <sheet name="Fane 8. Skattesagen" sheetId="41" r:id="rId12"/>
    <sheet name="Fane 9. Korrektion af ØR2023"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Fane21">'Fane 2.1. Økonomisk ramme 2025'!$B$8:$D$37</definedName>
    <definedName name="Fane21total">'Fane 2.1. Økonomisk ramme 2025'!$C$37</definedName>
    <definedName name="Fane22">'Fane 2.2. Økonomisk ramme 2026'!$B$8:$D$23</definedName>
    <definedName name="Fane22total">'Fane 2.2. Økonomisk ramme 2026'!$C$23</definedName>
    <definedName name="Fane23">'Fane 2.3. Økonomisk ramme 2027'!$B$8:$D$23</definedName>
    <definedName name="Fane23total">'Fane 2.3. Økonomisk ramme 2027'!$C$23</definedName>
    <definedName name="Fane24">'Fane 2.4. Økonomisk ramme 2028'!$B$8:$D$21</definedName>
    <definedName name="Fane24total">'Fane 2.4. Økonomisk ramme 2028'!$C$21</definedName>
    <definedName name="Fane3total">'Fane 3. Omkostninger i ØR2024'!$C$39</definedName>
    <definedName name="Tabel_Fane_13">'Fane 13. Tilknyttet virksomhed'!$B$8:$F$12</definedName>
    <definedName name="Tabel_Fane_14">'Fane 14. Bortfald'!$B$8:$F$12</definedName>
    <definedName name="Tabel_Fane_2_1">'Fane 2.1. Økonomisk ramme 2025'!$B$8:$D$37</definedName>
    <definedName name="Tabel_Fane_2_2">'Fane 2.2. Økonomisk ramme 2026'!$B$8:$D$23</definedName>
    <definedName name="Tabel_Fane_2_3">'Fane 2.3. Økonomisk ramme 2027'!$B$8:$D$23</definedName>
    <definedName name="Tabel_Fane_2_4">'Fane 2.4. Økonomisk ramme 2028'!$B$8:$D$21</definedName>
    <definedName name="Tabel_Fane_3">'Fane 3. Omkostninger i ØR2024'!$B$8:$D$40</definedName>
    <definedName name="ØR25total">'Fane 2.1. Økonomisk ramme 2025'!$C$37</definedName>
    <definedName name="ØR26total">'Fane 2.2. Økonomisk ramme 2026'!$C$23</definedName>
    <definedName name="ØR27total">'Fane 2.3. Økonomisk ramme 2027'!$C$23</definedName>
  </definedNames>
  <calcPr calcId="191029"/>
</workbook>
</file>

<file path=xl/calcChain.xml><?xml version="1.0" encoding="utf-8"?>
<calcChain xmlns="http://schemas.openxmlformats.org/spreadsheetml/2006/main">
  <c r="C23" i="43" l="1"/>
  <c r="C27" i="43" s="1"/>
  <c r="C32" i="2" s="1"/>
  <c r="F10" i="11" l="1"/>
  <c r="C11" i="29"/>
  <c r="C10" i="36" l="1"/>
  <c r="C10" i="30"/>
  <c r="C20" i="23" l="1"/>
  <c r="C22" i="22"/>
  <c r="C22" i="15"/>
  <c r="C36" i="2"/>
  <c r="C11" i="30" l="1"/>
  <c r="C15" i="30" s="1"/>
  <c r="C29" i="20" l="1"/>
  <c r="C28" i="20"/>
  <c r="C23" i="20"/>
  <c r="C22" i="20"/>
  <c r="C24" i="20" l="1"/>
  <c r="C30" i="20"/>
  <c r="C18" i="41"/>
  <c r="C16" i="20" l="1"/>
  <c r="C10" i="20"/>
  <c r="C31" i="43" l="1"/>
  <c r="C33" i="43" l="1"/>
  <c r="C20" i="22" l="1"/>
  <c r="C20" i="15"/>
  <c r="C12" i="29" l="1"/>
  <c r="E11" i="29"/>
  <c r="E12" i="29" s="1"/>
  <c r="E13" i="39"/>
  <c r="E14" i="39" s="1"/>
  <c r="C13" i="39"/>
  <c r="C14" i="39" s="1"/>
  <c r="J11" i="11"/>
  <c r="H11" i="11"/>
  <c r="C10" i="37" s="1"/>
  <c r="C20" i="19"/>
  <c r="C21" i="19" s="1"/>
  <c r="C16" i="23" l="1"/>
  <c r="C16" i="15"/>
  <c r="C16" i="22"/>
  <c r="F11" i="11"/>
  <c r="E10" i="37" s="1"/>
  <c r="C11" i="21" l="1"/>
  <c r="C12" i="21" s="1"/>
  <c r="C12" i="2" l="1"/>
  <c r="C15" i="2"/>
  <c r="C14" i="2"/>
  <c r="C26" i="2" l="1"/>
  <c r="C28" i="2" s="1"/>
  <c r="C27" i="2" l="1"/>
  <c r="C29" i="2" s="1"/>
  <c r="C30" i="2" l="1"/>
  <c r="C18" i="22" l="1"/>
  <c r="C22" i="2"/>
  <c r="C18" i="23" l="1"/>
  <c r="C15" i="40"/>
  <c r="C11" i="40" l="1"/>
  <c r="C17" i="20" l="1"/>
  <c r="C18" i="20" s="1"/>
  <c r="C11" i="20"/>
  <c r="C12" i="20" s="1"/>
  <c r="C18" i="15" l="1"/>
  <c r="C24" i="2"/>
  <c r="C16" i="40"/>
  <c r="C34" i="2" s="1"/>
  <c r="E11" i="21" l="1"/>
  <c r="E12" i="21" s="1"/>
  <c r="C13" i="2" l="1"/>
  <c r="C19" i="37"/>
  <c r="C20" i="37" s="1"/>
  <c r="C10" i="2" l="1"/>
  <c r="C16" i="30" l="1"/>
  <c r="C17" i="30" s="1"/>
  <c r="C21" i="30" l="1"/>
  <c r="C22" i="30" s="1"/>
  <c r="C18" i="2"/>
  <c r="E19" i="37"/>
  <c r="E20" i="37" s="1"/>
  <c r="C12" i="15" l="1"/>
  <c r="C26" i="30"/>
  <c r="C27" i="30" s="1"/>
  <c r="C11" i="2" l="1"/>
  <c r="C16" i="36" s="1"/>
  <c r="C11" i="36" l="1"/>
  <c r="C15" i="36" s="1"/>
  <c r="C17" i="36" s="1"/>
  <c r="C19" i="2" l="1"/>
  <c r="C9" i="2"/>
  <c r="C16" i="2" s="1"/>
  <c r="C21" i="36" l="1"/>
  <c r="C22" i="36" s="1"/>
  <c r="C17" i="2"/>
  <c r="C20" i="2" l="1"/>
  <c r="C13" i="15"/>
  <c r="C26" i="36"/>
  <c r="C27" i="36" l="1"/>
  <c r="C13" i="22" s="1"/>
  <c r="C37" i="2"/>
  <c r="C31" i="36" l="1"/>
  <c r="C32" i="36" s="1"/>
  <c r="C13" i="23" s="1"/>
  <c r="C31" i="30"/>
  <c r="C32" i="30" s="1"/>
  <c r="C9" i="15"/>
  <c r="C10" i="15" s="1"/>
  <c r="C11" i="15" l="1"/>
  <c r="C12" i="22"/>
  <c r="C12" i="23"/>
  <c r="C14" i="15" l="1"/>
  <c r="C23" i="15" s="1"/>
  <c r="C9" i="22" l="1"/>
  <c r="C10" i="22" s="1"/>
  <c r="C11" i="22" s="1"/>
  <c r="C14" i="22" s="1"/>
  <c r="C23" i="22" s="1"/>
  <c r="C9" i="23" l="1"/>
  <c r="C10" i="23" s="1"/>
  <c r="C11" i="23" l="1"/>
  <c r="C14" i="23" s="1"/>
  <c r="C21" i="23" s="1"/>
</calcChain>
</file>

<file path=xl/sharedStrings.xml><?xml version="1.0" encoding="utf-8"?>
<sst xmlns="http://schemas.openxmlformats.org/spreadsheetml/2006/main" count="557" uniqueCount="245">
  <si>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</si>
  <si>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</si>
  <si>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</si>
  <si>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</si>
  <si>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</si>
  <si>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</si>
  <si>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</si>
  <si>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</si>
  <si>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</si>
  <si>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</si>
  <si>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</si>
  <si>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</si>
  <si>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</si>
  <si>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</si>
  <si>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</si>
  <si>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</si>
  <si>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</si>
  <si>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</si>
  <si>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</si>
  <si>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</si>
  <si>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</si>
  <si>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</si>
  <si>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</si>
  <si>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</si>
  <si>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</si>
  <si>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</si>
  <si>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</si>
  <si>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</si>
  <si>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</si>
  <si>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</si>
  <si>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</si>
  <si>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</si>
  <si>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</si>
  <si>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</si>
  <si>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</si>
  <si>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</si>
  <si>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</si>
  <si>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Nye varige tillæg</t>
  </si>
  <si>
    <t>Engangstillæg - Drift</t>
  </si>
  <si>
    <t>Engangstillæg - Anlæg</t>
  </si>
  <si>
    <t>Fane 7</t>
  </si>
  <si>
    <t>Varige tillæg</t>
  </si>
  <si>
    <t>Engangstillæg</t>
  </si>
  <si>
    <t>Periodevise driftsomkostninger</t>
  </si>
  <si>
    <t>Engangstillæg i alt</t>
  </si>
  <si>
    <t>Fane 5: Individuelt effektiviseringskrav</t>
  </si>
  <si>
    <t>Generelt effektiviseringskrav på drift</t>
  </si>
  <si>
    <t>Generelt effektiviseringskrav på anlæg</t>
  </si>
  <si>
    <t>Tillæg til tilbagebetaling af vejbidrag</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</si>
  <si>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</si>
  <si>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</si>
  <si>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</si>
  <si>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</si>
  <si>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</si>
  <si>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</si>
  <si>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</si>
  <si>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</si>
  <si>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</si>
  <si>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</si>
  <si>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</si>
  <si>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Generelt effektiviseringskrav til brug for driftsomkostninger</t>
  </si>
  <si>
    <t>Tillæg til medfinansieringsprojekter godkendt under prisloftsbekendtgørelsen</t>
  </si>
  <si>
    <t>Fane 3</t>
  </si>
  <si>
    <t>Tidligere tilknyttet virksomhed - Drift</t>
  </si>
  <si>
    <t>Tidligere tilknyttet virksomhed - Anlæg</t>
  </si>
  <si>
    <t>Videreførte omkostninger fra den økonomiske ramme for 2023</t>
  </si>
  <si>
    <t>Økonomisk ramme for 2024</t>
  </si>
  <si>
    <t>Tilknyttet virksomhed under hovedvirksomheden</t>
  </si>
  <si>
    <t>Beskrivelse af tilknyttet virksomhed</t>
  </si>
  <si>
    <t>Tilknyttet virksomhed</t>
  </si>
  <si>
    <t>Kontrol med overholdelse af økonomiske rammer</t>
  </si>
  <si>
    <t>Kontrol med de økonomiske rammer til indregning</t>
  </si>
  <si>
    <t>Økonomisk ramme for 2025</t>
  </si>
  <si>
    <t>Tillæg til den økonomiske ramme for 2025</t>
  </si>
  <si>
    <t>Periodevise driftsomkostninger til de økonomiske rammer for 2025</t>
  </si>
  <si>
    <t>Periodevise driftsomkostninger i alt i 2025-prisniveau</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</si>
  <si>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</si>
  <si>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</si>
  <si>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</si>
  <si>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</si>
  <si>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</si>
  <si>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</si>
  <si>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</si>
  <si>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</si>
  <si>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</si>
  <si>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Periodevise driftsomkostninger til de økonomiske rammer for 2026</t>
  </si>
  <si>
    <t>Periodevise driftsomkostninger i alt i 2026-prisniveau</t>
  </si>
  <si>
    <t>Anlægsprojekter igangsat senest den 1. marts 2016</t>
  </si>
  <si>
    <t>Anlægsprojekter igangsat senest 1. marts 2016</t>
  </si>
  <si>
    <t>Base for driftsomkostninger til de økonomiske rammer for 2024</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</si>
  <si>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</si>
  <si>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</si>
  <si>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</si>
  <si>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</si>
  <si>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</si>
  <si>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</si>
  <si>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</si>
  <si>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</si>
  <si>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</si>
  <si>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</si>
  <si>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</si>
  <si>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</si>
  <si>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</si>
  <si>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</si>
  <si>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</si>
  <si>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</si>
  <si>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</si>
  <si>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</si>
  <si>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</si>
  <si>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</si>
  <si>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</si>
  <si>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</si>
  <si>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</si>
  <si>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</si>
  <si>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</si>
  <si>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</si>
  <si>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</si>
  <si>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</si>
  <si>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</si>
  <si>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</si>
  <si>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</si>
  <si>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</si>
  <si>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 xml:space="preserve">Note: Opgørelsen af over/underdækningen er taget fra jeres tidligere fremsendte økonomiske rammer og statusmeddelelser. I kan derfor ikke komme med høringssvar til denne opgørelse. </t>
  </si>
  <si>
    <t>Prisudvikling til brug for ØR2024-2025</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</si>
  <si>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</si>
  <si>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</si>
  <si>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</si>
  <si>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</si>
  <si>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2025</t>
  </si>
  <si>
    <t>Korrektion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</si>
  <si>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</si>
  <si>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</si>
  <si>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</si>
  <si>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</si>
  <si>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</si>
  <si>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</si>
  <si>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</si>
  <si>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</si>
  <si>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</si>
  <si>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Generelt effektiviseringskrav til anlægsomkostninger i de vejledende økonomiske rammer for 2027</t>
  </si>
  <si>
    <t>Nye tillæg i alt i 2023-prisniveau</t>
  </si>
  <si>
    <t>Periodevise driftsomkostninger til de økonomiske rammer for 2027</t>
  </si>
  <si>
    <t>Periodevise driftsomkostninger i alt i 2027-prisniveau</t>
  </si>
  <si>
    <t>Tilknyttet virksomhed under hovedvirksomheden i alt (2023-prisniveau)</t>
  </si>
  <si>
    <t>Bortfald eller nedsættelse i alt i 2023-prisniveau</t>
  </si>
  <si>
    <t>Vejledende</t>
  </si>
  <si>
    <t>Generelt effektiviseringskrav til driftsomkostninger i de vejledende økonomiske rammer for 2026</t>
  </si>
  <si>
    <t>Generelt effektiviseringskrav til anlægsomkostninger i de økonomiske rammer for 2025</t>
  </si>
  <si>
    <t>Generelt effektiviseringskrav til anlægsomkostninger i de økonomiske rammer for 2024</t>
  </si>
  <si>
    <t>Tillæg til den økonomiske ramme for 2027</t>
  </si>
  <si>
    <t>Vejledende økonomisk ramme for 2027</t>
  </si>
  <si>
    <t xml:space="preserve"> </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</si>
  <si>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</si>
  <si>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</si>
  <si>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</si>
  <si>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</si>
  <si>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</si>
  <si>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</si>
  <si>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</si>
  <si>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</si>
  <si>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</si>
  <si>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</si>
  <si>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</si>
  <si>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</si>
  <si>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anlægsomkostninger i de vejledende økonomiske rammer for 2028</t>
  </si>
  <si>
    <t>Individuelt effektiviseringskrav til de økonomiske rammer for 2025-2028</t>
  </si>
  <si>
    <t>Faktiske ikke-påvirkelige omkostninger i 2023</t>
  </si>
  <si>
    <t>Omkostninger i 2023</t>
  </si>
  <si>
    <t>Ikke-påvirkelige omkostninger i 2023-prisniveau</t>
  </si>
  <si>
    <t>Ikke-påvirkelige omkostninger i 2025-prisniveau</t>
  </si>
  <si>
    <t>Tillæg til den økonomiske ramme for 2028</t>
  </si>
  <si>
    <t>Fane 9: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</si>
  <si>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</si>
  <si>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</si>
  <si>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</si>
  <si>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</si>
  <si>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</si>
  <si>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</si>
  <si>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</si>
  <si>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2025-prisniveau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</si>
  <si>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</si>
  <si>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</si>
  <si>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</si>
  <si>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</si>
  <si>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 økonomiske rammer for 2025</t>
  </si>
  <si>
    <t>Nye varige driftsomkostninger til de økonomiske rammer for 2025</t>
  </si>
  <si>
    <t>Nye varige anlægsomkostninger i de økonomiske rammer for 2025</t>
  </si>
  <si>
    <t>Vejledende økonomisk ramme for 2026</t>
  </si>
  <si>
    <t>Generelt effektiviseringskrav til driftsomkostninger i de vejledende økonomiske rammer for 2027</t>
  </si>
  <si>
    <t>Generelt effektiviseringskrav til driftsomkostninger i de vejledende økonomiske rammer for 2028</t>
  </si>
  <si>
    <t>Base for driftsomkostninger til de vejledende økonomiske rammer for 2026</t>
  </si>
  <si>
    <t>Base for driftsomkostninger til de vejledende økonomiske rammer for 2027</t>
  </si>
  <si>
    <t>Base for driftsomkostninger til de vejledende økonomiske rammer for 2028</t>
  </si>
  <si>
    <t>Base for anlægsomkostninger til de vejledende økonomiske rammer for 2026</t>
  </si>
  <si>
    <t>Base for anlægsomkostninger til de vejledende økonomiske rammer for 2027</t>
  </si>
  <si>
    <t>Vejledende generelt effektiviseringskrav til driftsomkostningerne i ØR27</t>
  </si>
  <si>
    <t>Vejledende generelt effektiviseringskrav til driftsomkostningerne i ØR28</t>
  </si>
  <si>
    <t>Vejledende generelt effektiviseringskrav til driftsomkostningerne i ØR26</t>
  </si>
  <si>
    <t>Vejledende generelt effektiviseringskrav til anlægsomkostningerne i ØR26</t>
  </si>
  <si>
    <t>Vejledende generelt effektiviseringskrav til anlægsomkostningerne i ØR27</t>
  </si>
  <si>
    <t>Vejledende generelt effektiviseringskrav til anlægsomkostningerne i ØR28</t>
  </si>
  <si>
    <t>Base for anlægsomkostninger til de vejledende økonomiske rammer for 2028</t>
  </si>
  <si>
    <t>Fane 7: Kontrol med overholdelse af den økonomiske ramme for 2023</t>
  </si>
  <si>
    <t>Indregnet fradrag i økonomisk ramme for 2024</t>
  </si>
  <si>
    <t>Indregnet fradrag i økonomisk ramme for 2025</t>
  </si>
  <si>
    <t>Over/underdækning i 2022</t>
  </si>
  <si>
    <t>Kontrol med overholdelse af den økonomiske ramme for 2023</t>
  </si>
  <si>
    <t>Indtægtsramme i den økonomiske ramme for 2023</t>
  </si>
  <si>
    <t>Faktiske indtægter i 2023</t>
  </si>
  <si>
    <t>Resultat af kontrol med overholdelse af den økonomiske rammer for 2023</t>
  </si>
  <si>
    <t>Korrektion af fradrag i den økonomiske ramme for 2025</t>
  </si>
  <si>
    <t>Tillæg/fradrag i den økonomiske ramme for 2025</t>
  </si>
  <si>
    <t>Til indregning i de økonomiske rammer for 2026-2027</t>
  </si>
  <si>
    <t xml:space="preserve">Note: Opgørelsen af overholdelse af den økonomiske ramme for 2022 taget fra jeres tidligere fremsendte afgørelse. I kan derfor ikke komme med høringssvar til denne opgørelse. Positive værdier er udtryk for at rammerne er overholdt (underdækning) og negative værdier er udtryk for at rammerne ikke er overholdt (overdækning). </t>
  </si>
  <si>
    <t>Justering af den økonomiske ramme</t>
  </si>
  <si>
    <t>Justering af den økonomiske ramme for stigende el-omkostninger</t>
  </si>
  <si>
    <t>Generelt effektiviseringskrav til brug for anlægsomkostninger i ØR2024-2025</t>
  </si>
  <si>
    <t>Bortfald eller nedsættelse i alt i 2025-prisniveau</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</si>
  <si>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</si>
  <si>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</si>
  <si>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</si>
  <si>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 xml:space="preserve">Note: Denne opgørelse er taget fra jeres afgørelse om økonomiske rammer for 2024-2025.
I kan derfor ikke komme med høringssvar til denne opgørelse. </t>
  </si>
  <si>
    <t>Omkostninger til § 19-tillæg i alt - 2023 prisniveau</t>
  </si>
  <si>
    <t>Ingen tilknyttet virksomhed under hovedvirksomheden</t>
  </si>
  <si>
    <t>Ingen bortfald eller nedsættelse</t>
  </si>
  <si>
    <t>Ingen anlægsprojekter</t>
  </si>
  <si>
    <t>Effektiviseringskrav (generelt og individuelt) –  Drift</t>
  </si>
  <si>
    <t>Effektiviseringskrav (generelt og individuelt) –  Anlæg</t>
  </si>
  <si>
    <t xml:space="preserve">Note: Denne opgørelse er taget fra jeres økonomiske ramme for 2024. 
I kan derfor ikke komme med høringssvar til denne opgørelse. </t>
  </si>
  <si>
    <t>Prisudvikling til brug for nye omkostninger i ØR2025</t>
  </si>
  <si>
    <t>Generelt effektiviseringskrav til brug for nye anlægsomkostninger i ØR2025</t>
  </si>
  <si>
    <t>Til statusmeddelelse for 2025</t>
  </si>
  <si>
    <t>Spildevandsafgift</t>
  </si>
  <si>
    <t>Afgift til Forsyningssekretariatet</t>
  </si>
  <si>
    <t>Ejendomsskatter</t>
  </si>
  <si>
    <t>Erstatninger</t>
  </si>
  <si>
    <t>Gebyr til Miljøstyrelsen</t>
  </si>
  <si>
    <t>Asbest</t>
  </si>
  <si>
    <t>LER2</t>
  </si>
  <si>
    <t xml:space="preserve">Separat kloakering </t>
  </si>
  <si>
    <t>Udvidelse af forsyningsområde</t>
  </si>
  <si>
    <t>Ingen engangstillæg</t>
  </si>
  <si>
    <t>Betalinger til projekters medfinansiering - Østerå - sagsnr. 20/02746</t>
  </si>
  <si>
    <t xml:space="preserve">Betalinger til projekters medfinansiering - Sofiendal Enge </t>
  </si>
  <si>
    <t>Øvrige afgifter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</si>
</sst>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7"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
      <sz val="10"/>
      <name val="Times New Roman"/>
      <family val="1"/>
    </font>
    <font>
      <sz val="10"/>
      <color rgb="FF00000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9">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0" fontId="2" fillId="2" borderId="0" xfId="0" applyFont="1" applyFill="1" applyAlignment="1" applyProtection="1">
      <alignment vertical="center" wrapText="1"/>
    </xf>
    <xf numFmtId="0" fontId="8" fillId="8" borderId="3" xfId="0" applyFont="1" applyFill="1" applyBorder="1" applyProtection="1"/>
    <xf numFmtId="0" fontId="8" fillId="8" borderId="2" xfId="0" applyFont="1" applyFill="1" applyBorder="1" applyAlignment="1" applyProtection="1"/>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3" fontId="8" fillId="4" borderId="1" xfId="0" quotePrefix="1" applyNumberFormat="1" applyFont="1" applyFill="1" applyBorder="1" applyProtection="1"/>
    <xf numFmtId="3" fontId="15" fillId="8" borderId="1" xfId="0" applyNumberFormat="1" applyFont="1" applyFill="1" applyBorder="1" applyProtection="1"/>
    <xf numFmtId="164" fontId="0" fillId="2" borderId="0" xfId="0" applyNumberFormat="1" applyFill="1" applyProtection="1"/>
    <xf numFmtId="0" fontId="8" fillId="8" borderId="2" xfId="0" quotePrefix="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2" fillId="2" borderId="0" xfId="0" applyFont="1" applyFill="1" applyBorder="1" applyAlignment="1" applyProtection="1">
      <alignment wrapText="1"/>
    </xf>
    <xf numFmtId="49" fontId="8" fillId="8" borderId="2" xfId="0" applyNumberFormat="1" applyFont="1" applyFill="1" applyBorder="1" applyAlignment="1" applyProtection="1">
      <alignment wrapText="1"/>
    </xf>
    <xf numFmtId="0" fontId="8" fillId="8" borderId="4" xfId="0" applyFont="1" applyFill="1" applyBorder="1" applyAlignment="1" applyProtection="1">
      <alignment horizontal="left" wrapText="1"/>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8" fillId="8" borderId="1" xfId="0" applyFont="1" applyFill="1" applyBorder="1" applyAlignment="1" applyProtection="1">
      <alignment vertical="top" wrapText="1"/>
    </xf>
    <xf numFmtId="0" fontId="8" fillId="0" borderId="1" xfId="0" applyFont="1" applyFill="1" applyBorder="1" applyAlignment="1" applyProtection="1">
      <alignment vertical="top" wrapText="1"/>
    </xf>
    <xf numFmtId="1" fontId="8" fillId="8" borderId="1" xfId="1" applyNumberFormat="1" applyFont="1" applyFill="1" applyBorder="1" applyProtection="1"/>
    <xf numFmtId="3" fontId="16" fillId="0" borderId="1" xfId="0" applyNumberFormat="1" applyFont="1" applyBorder="1" applyProtection="1"/>
    <xf numFmtId="0" fontId="16" fillId="0" borderId="1" xfId="0" applyFont="1" applyBorder="1" applyProtection="1"/>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9" xfId="0" applyFont="1" applyFill="1" applyBorder="1" applyAlignment="1" applyProtection="1">
      <alignment vertical="center" wrapText="1"/>
    </xf>
    <xf numFmtId="0" fontId="7" fillId="3" borderId="2" xfId="0" applyFont="1" applyFill="1" applyBorder="1" applyAlignment="1" applyProtection="1">
      <alignment horizontal="left" wrapText="1"/>
    </xf>
    <xf numFmtId="0" fontId="7" fillId="3" borderId="6"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8" fillId="8" borderId="8"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650816"/>
      <color rgb="FFF2DCDB"/>
      <color rgb="FFB6DDF3"/>
      <color rgb="FFD9D9D9"/>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50"/>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8" width="0" style="2" hidden="1" customWidth="1"/>
    <col min="9"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101" t="s">
        <v>4</v>
      </c>
      <c r="D6" s="101"/>
      <c r="E6" s="101"/>
      <c r="F6" s="101"/>
      <c r="G6" s="3"/>
    </row>
    <row r="7" spans="1:7" ht="15" customHeight="1" x14ac:dyDescent="0.25">
      <c r="A7" s="1"/>
      <c r="B7" s="3"/>
      <c r="C7" s="101"/>
      <c r="D7" s="101"/>
      <c r="E7" s="101"/>
      <c r="F7" s="101"/>
      <c r="G7" s="3"/>
    </row>
    <row r="8" spans="1:7" ht="15.75" x14ac:dyDescent="0.25">
      <c r="A8" s="1"/>
      <c r="B8" s="4"/>
      <c r="C8" s="106" t="s">
        <v>231</v>
      </c>
      <c r="D8" s="106"/>
      <c r="E8" s="106"/>
      <c r="F8" s="106"/>
      <c r="G8" s="4"/>
    </row>
    <row r="9" spans="1:7" x14ac:dyDescent="0.25">
      <c r="A9" s="1"/>
      <c r="B9" s="5"/>
      <c r="C9" s="5"/>
      <c r="D9" s="5"/>
      <c r="E9" s="5"/>
      <c r="F9" s="5"/>
      <c r="G9" s="5"/>
    </row>
    <row r="10" spans="1:7" x14ac:dyDescent="0.25">
      <c r="A10" s="1"/>
      <c r="B10" s="5"/>
      <c r="C10" s="5"/>
      <c r="D10" s="5"/>
      <c r="E10" s="5"/>
      <c r="F10" s="5"/>
      <c r="G10" s="5"/>
    </row>
    <row r="11" spans="1:7" x14ac:dyDescent="0.25">
      <c r="A11" s="1"/>
      <c r="B11" s="5"/>
      <c r="C11" s="105" t="s">
        <v>5</v>
      </c>
      <c r="D11" s="105"/>
      <c r="E11" s="105"/>
      <c r="F11" s="105"/>
      <c r="G11" s="5"/>
    </row>
    <row r="12" spans="1:7" x14ac:dyDescent="0.25">
      <c r="A12" s="1"/>
      <c r="B12" s="1"/>
      <c r="C12" s="1"/>
      <c r="D12" s="1"/>
      <c r="E12" s="1"/>
      <c r="F12" s="1"/>
      <c r="G12" s="5"/>
    </row>
    <row r="13" spans="1:7" x14ac:dyDescent="0.25">
      <c r="A13" s="1"/>
      <c r="B13" s="6" t="s">
        <v>6</v>
      </c>
      <c r="C13" s="107" t="s">
        <v>128</v>
      </c>
      <c r="D13" s="108"/>
      <c r="E13" s="108"/>
      <c r="F13" s="109"/>
      <c r="G13" s="5"/>
    </row>
    <row r="14" spans="1:7" x14ac:dyDescent="0.25">
      <c r="A14" s="1"/>
      <c r="B14" s="6" t="s">
        <v>16</v>
      </c>
      <c r="C14" s="98" t="s">
        <v>187</v>
      </c>
      <c r="D14" s="99"/>
      <c r="E14" s="99"/>
      <c r="F14" s="100"/>
      <c r="G14" s="5"/>
    </row>
    <row r="15" spans="1:7" x14ac:dyDescent="0.25">
      <c r="A15" s="1"/>
      <c r="B15" s="6" t="s">
        <v>30</v>
      </c>
      <c r="C15" s="98" t="s">
        <v>150</v>
      </c>
      <c r="D15" s="99"/>
      <c r="E15" s="99"/>
      <c r="F15" s="100"/>
      <c r="G15" s="5"/>
    </row>
    <row r="16" spans="1:7" x14ac:dyDescent="0.25">
      <c r="A16" s="1"/>
      <c r="B16" s="6" t="s">
        <v>31</v>
      </c>
      <c r="C16" s="98" t="s">
        <v>152</v>
      </c>
      <c r="D16" s="99"/>
      <c r="E16" s="99"/>
      <c r="F16" s="100"/>
      <c r="G16" s="5"/>
    </row>
    <row r="17" spans="1:8" x14ac:dyDescent="0.25">
      <c r="A17" s="1"/>
      <c r="B17" s="6" t="s">
        <v>62</v>
      </c>
      <c r="C17" s="98" t="s">
        <v>153</v>
      </c>
      <c r="D17" s="99"/>
      <c r="E17" s="99"/>
      <c r="F17" s="100"/>
      <c r="G17" s="5"/>
    </row>
    <row r="18" spans="1:8" x14ac:dyDescent="0.25">
      <c r="A18" s="1"/>
      <c r="B18" s="6" t="s">
        <v>54</v>
      </c>
      <c r="C18" s="95" t="s">
        <v>46</v>
      </c>
      <c r="D18" s="96"/>
      <c r="E18" s="96"/>
      <c r="F18" s="97"/>
      <c r="G18" s="5"/>
    </row>
    <row r="19" spans="1:8" x14ac:dyDescent="0.25">
      <c r="A19" s="1"/>
      <c r="B19" s="6" t="s">
        <v>55</v>
      </c>
      <c r="C19" s="95" t="s">
        <v>47</v>
      </c>
      <c r="D19" s="96"/>
      <c r="E19" s="96"/>
      <c r="F19" s="97"/>
      <c r="G19" s="5"/>
    </row>
    <row r="20" spans="1:8" x14ac:dyDescent="0.25">
      <c r="A20" s="1"/>
      <c r="B20" s="6" t="s">
        <v>7</v>
      </c>
      <c r="C20" s="95" t="s">
        <v>10</v>
      </c>
      <c r="D20" s="96"/>
      <c r="E20" s="96"/>
      <c r="F20" s="97"/>
      <c r="G20" s="5"/>
    </row>
    <row r="21" spans="1:8" x14ac:dyDescent="0.25">
      <c r="A21" s="1"/>
      <c r="B21" s="6" t="s">
        <v>56</v>
      </c>
      <c r="C21" s="102" t="s">
        <v>12</v>
      </c>
      <c r="D21" s="103"/>
      <c r="E21" s="103"/>
      <c r="F21" s="104"/>
      <c r="G21" s="5"/>
    </row>
    <row r="22" spans="1:8" x14ac:dyDescent="0.25">
      <c r="A22" s="1"/>
      <c r="B22" s="6" t="s">
        <v>40</v>
      </c>
      <c r="C22" s="89" t="s">
        <v>154</v>
      </c>
      <c r="D22" s="90"/>
      <c r="E22" s="90"/>
      <c r="F22" s="91"/>
      <c r="G22" s="5"/>
    </row>
    <row r="23" spans="1:8" x14ac:dyDescent="0.25">
      <c r="A23" s="1"/>
      <c r="B23" s="6" t="s">
        <v>8</v>
      </c>
      <c r="C23" s="89" t="s">
        <v>113</v>
      </c>
      <c r="D23" s="90"/>
      <c r="E23" s="90"/>
      <c r="F23" s="91"/>
      <c r="G23" s="5"/>
    </row>
    <row r="24" spans="1:8" x14ac:dyDescent="0.25">
      <c r="A24" s="1"/>
      <c r="B24" s="6" t="s">
        <v>9</v>
      </c>
      <c r="C24" s="89" t="s">
        <v>155</v>
      </c>
      <c r="D24" s="90"/>
      <c r="E24" s="90"/>
      <c r="F24" s="91"/>
      <c r="G24" s="5"/>
    </row>
    <row r="25" spans="1:8" x14ac:dyDescent="0.25">
      <c r="A25" s="1"/>
      <c r="B25" s="6" t="s">
        <v>98</v>
      </c>
      <c r="C25" s="89" t="s">
        <v>92</v>
      </c>
      <c r="D25" s="90"/>
      <c r="E25" s="90"/>
      <c r="F25" s="91"/>
      <c r="G25" s="1"/>
    </row>
    <row r="26" spans="1:8" x14ac:dyDescent="0.25">
      <c r="A26" s="1"/>
      <c r="B26" s="6" t="s">
        <v>99</v>
      </c>
      <c r="C26" s="89" t="s">
        <v>41</v>
      </c>
      <c r="D26" s="90"/>
      <c r="E26" s="90"/>
      <c r="F26" s="91"/>
      <c r="G26" s="1"/>
    </row>
    <row r="27" spans="1:8" x14ac:dyDescent="0.25">
      <c r="A27" s="1"/>
      <c r="B27" s="6" t="s">
        <v>100</v>
      </c>
      <c r="C27" s="89" t="s">
        <v>42</v>
      </c>
      <c r="D27" s="90"/>
      <c r="E27" s="90"/>
      <c r="F27" s="91"/>
      <c r="G27" s="1"/>
    </row>
    <row r="28" spans="1:8" x14ac:dyDescent="0.25">
      <c r="A28" s="1"/>
      <c r="B28" s="6" t="s">
        <v>15</v>
      </c>
      <c r="C28" s="89" t="s">
        <v>43</v>
      </c>
      <c r="D28" s="90"/>
      <c r="E28" s="90"/>
      <c r="F28" s="91"/>
      <c r="G28" s="1"/>
      <c r="H28" s="2" t="s">
        <v>151</v>
      </c>
    </row>
    <row r="29" spans="1:8" x14ac:dyDescent="0.25">
      <c r="A29" s="1"/>
      <c r="B29" s="6" t="s">
        <v>33</v>
      </c>
      <c r="C29" s="89" t="s">
        <v>69</v>
      </c>
      <c r="D29" s="90"/>
      <c r="E29" s="90"/>
      <c r="F29" s="91"/>
      <c r="G29" s="1"/>
    </row>
    <row r="30" spans="1:8" x14ac:dyDescent="0.25">
      <c r="A30" s="1"/>
      <c r="B30" s="6" t="s">
        <v>34</v>
      </c>
      <c r="C30" s="89" t="s">
        <v>32</v>
      </c>
      <c r="D30" s="90"/>
      <c r="E30" s="90"/>
      <c r="F30" s="91"/>
      <c r="G30" s="1"/>
    </row>
    <row r="31" spans="1:8" x14ac:dyDescent="0.25">
      <c r="A31" s="1"/>
      <c r="B31" s="6" t="s">
        <v>101</v>
      </c>
      <c r="C31" s="92" t="s">
        <v>53</v>
      </c>
      <c r="D31" s="93"/>
      <c r="E31" s="93"/>
      <c r="F31" s="94"/>
      <c r="G31" s="1"/>
    </row>
    <row r="32" spans="1:8"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44"/>
      <c r="B50" s="44"/>
      <c r="C50" s="44"/>
      <c r="D50" s="44"/>
      <c r="E50" s="44"/>
      <c r="F50" s="44"/>
      <c r="G50" s="44"/>
    </row>
  </sheetData>
  <sheetProtection algorithmName="SHA-512" hashValue="VLddvK5l88NrTSXDvzS36fwMP0rAEA8GGY0YW6jhrOrIQmbK5NMjj4eMdPwyF/73kdy4BQVeDtHmLrESeVQa+A==" saltValue="xS8zFpYDp+inAYx+BeEBTA==" spinCount="100000" sheet="1" objects="1" scenarios="1"/>
  <mergeCells count="22">
    <mergeCell ref="C14:F14"/>
    <mergeCell ref="C6:F7"/>
    <mergeCell ref="C21:F21"/>
    <mergeCell ref="C22:F22"/>
    <mergeCell ref="C11:F11"/>
    <mergeCell ref="C8:F8"/>
    <mergeCell ref="C15:F15"/>
    <mergeCell ref="C16:F16"/>
    <mergeCell ref="C19:F19"/>
    <mergeCell ref="C13:F13"/>
    <mergeCell ref="C17:F17"/>
    <mergeCell ref="C20:F20"/>
    <mergeCell ref="C30:F30"/>
    <mergeCell ref="C31:F31"/>
    <mergeCell ref="C18:F18"/>
    <mergeCell ref="C25:F25"/>
    <mergeCell ref="C26:F26"/>
    <mergeCell ref="C29:F29"/>
    <mergeCell ref="C27:F27"/>
    <mergeCell ref="C28:F28"/>
    <mergeCell ref="C24:F24"/>
    <mergeCell ref="C23:F23"/>
  </mergeCells>
  <hyperlinks>
    <hyperlink ref="C14:F14" location="'Fane 2.2. Økonomisk ramme 2026'!A1" display="Vejledende økonomisk ramme for 2026" xr:uid="{00000000-0004-0000-0000-000000000000}"/>
    <hyperlink ref="C26:F26" location="'Fane 11.1. Varige tillæg'!A1" display="Varige tillæg" xr:uid="{00000000-0004-0000-0000-000001000000}"/>
    <hyperlink ref="C29:F29" location="'Fane 13. Tilknyttet virksomhed'!A1" display="Tilknyttet virksomhed" xr:uid="{00000000-0004-0000-0000-000002000000}"/>
    <hyperlink ref="C30:F30" location="'Fane 14.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2:F22" location="'Fane 7. Kontrol af ØR2023'!A1" display="Kontrol af den økonomiske ramme for 2023" xr:uid="{00000000-0004-0000-0000-000007000000}"/>
    <hyperlink ref="C25:F25" location="'Fane 10. Anlægsprojekter (§ 19)'!A1" display="Anlægsprojekter (§ 19) " xr:uid="{00000000-0004-0000-0000-000008000000}"/>
    <hyperlink ref="C31:F31" location="'Fane 15. Nøgletal'!A1" display="Nøgletal" xr:uid="{00000000-0004-0000-0000-000009000000}"/>
    <hyperlink ref="C17:F17" location="'Fane 3. Omkostninger i ØR2024'!A1" display="Omkostninger i ØR2024" xr:uid="{00000000-0004-0000-0000-00000A000000}"/>
    <hyperlink ref="C27:F27" location="'Fane 11.2. Engangstillæg'!A1" display="Engangstillæg" xr:uid="{00000000-0004-0000-0000-00000B000000}"/>
    <hyperlink ref="C28:F28" location="'Fane 12. Periodevise driftsomk.'!A1" display="Periodevise driftsomkostninger" xr:uid="{00000000-0004-0000-0000-00000C000000}"/>
    <hyperlink ref="C24:F24" location="'Fane 9. Korrektion af ØR2023'!A1" display="Korrektion af den økonomiske ramme for 2023" xr:uid="{00000000-0004-0000-0000-00000D000000}"/>
    <hyperlink ref="C21:F21" location="'Fane 6. Ikke-påvirkelige omk.'!A1" display="Ikke-påvirkelige omkostninger" xr:uid="{00000000-0004-0000-0000-00000E000000}"/>
    <hyperlink ref="C18:F18" location="'Fane 4.1. Gen. krav - drift'!A1" display="Generelt effektiviseringskrav på drift" xr:uid="{00000000-0004-0000-0000-00000F000000}"/>
    <hyperlink ref="C20:F20" location="'Fane 5. Individuelt eff. krav'!A1" display="Individuelt effektiviseringskrav" xr:uid="{00000000-0004-0000-0000-000010000000}"/>
    <hyperlink ref="C19:F19" location="'Fane 4.2. Gen. krav - anlæg'!A1" display="Generelt effektiviseringskrav på anlæg" xr:uid="{00000000-0004-0000-0000-000011000000}"/>
    <hyperlink ref="C23:F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10" t="s">
        <v>59</v>
      </c>
      <c r="C3" s="110"/>
      <c r="D3" s="110"/>
      <c r="E3" s="1"/>
    </row>
    <row r="4" spans="1:5" ht="15" customHeight="1" x14ac:dyDescent="0.25">
      <c r="A4" s="1"/>
      <c r="B4" s="110"/>
      <c r="C4" s="110"/>
      <c r="D4" s="110"/>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17" t="s">
        <v>166</v>
      </c>
      <c r="C8" s="118"/>
      <c r="D8" s="119"/>
      <c r="E8" s="1"/>
    </row>
    <row r="9" spans="1:5" ht="15" customHeight="1" x14ac:dyDescent="0.25">
      <c r="A9" s="1"/>
      <c r="B9" s="27" t="s">
        <v>28</v>
      </c>
      <c r="C9" s="68" t="s">
        <v>167</v>
      </c>
      <c r="D9" s="11"/>
      <c r="E9" s="1"/>
    </row>
    <row r="10" spans="1:5" ht="15" customHeight="1" x14ac:dyDescent="0.25">
      <c r="A10" s="1"/>
      <c r="B10" s="73" t="s">
        <v>232</v>
      </c>
      <c r="C10" s="74">
        <v>9564350</v>
      </c>
      <c r="D10" s="14" t="s">
        <v>3</v>
      </c>
      <c r="E10" s="1"/>
    </row>
    <row r="11" spans="1:5" ht="15" customHeight="1" x14ac:dyDescent="0.25">
      <c r="A11" s="1"/>
      <c r="B11" s="73" t="s">
        <v>233</v>
      </c>
      <c r="C11" s="74">
        <v>306806</v>
      </c>
      <c r="D11" s="14" t="s">
        <v>3</v>
      </c>
      <c r="E11" s="1"/>
    </row>
    <row r="12" spans="1:5" x14ac:dyDescent="0.25">
      <c r="A12" s="1"/>
      <c r="B12" s="75" t="s">
        <v>234</v>
      </c>
      <c r="C12" s="74">
        <v>333017.01</v>
      </c>
      <c r="D12" s="14" t="s">
        <v>3</v>
      </c>
      <c r="E12" s="1"/>
    </row>
    <row r="13" spans="1:5" x14ac:dyDescent="0.25">
      <c r="A13" s="1"/>
      <c r="B13" s="75" t="s">
        <v>235</v>
      </c>
      <c r="C13" s="74">
        <v>379185</v>
      </c>
      <c r="D13" s="14" t="s">
        <v>3</v>
      </c>
      <c r="E13" s="1"/>
    </row>
    <row r="14" spans="1:5" x14ac:dyDescent="0.25">
      <c r="A14" s="1"/>
      <c r="B14" s="76" t="s">
        <v>242</v>
      </c>
      <c r="C14" s="78">
        <v>837815</v>
      </c>
      <c r="D14" s="14" t="s">
        <v>3</v>
      </c>
      <c r="E14" s="1"/>
    </row>
    <row r="15" spans="1:5" x14ac:dyDescent="0.25">
      <c r="A15" s="1"/>
      <c r="B15" s="79" t="s">
        <v>243</v>
      </c>
      <c r="C15" s="78">
        <v>31546</v>
      </c>
      <c r="D15" s="14" t="s">
        <v>3</v>
      </c>
      <c r="E15" s="1"/>
    </row>
    <row r="16" spans="1:5" x14ac:dyDescent="0.25">
      <c r="A16" s="1"/>
      <c r="B16" s="76" t="s">
        <v>236</v>
      </c>
      <c r="C16" s="74">
        <v>33915</v>
      </c>
      <c r="D16" s="14" t="s">
        <v>3</v>
      </c>
      <c r="E16" s="1"/>
    </row>
    <row r="17" spans="1:5" x14ac:dyDescent="0.25">
      <c r="A17" s="1"/>
      <c r="B17" s="75" t="s">
        <v>244</v>
      </c>
      <c r="C17" s="74">
        <v>83286</v>
      </c>
      <c r="D17" s="14" t="s">
        <v>3</v>
      </c>
      <c r="E17" s="1"/>
    </row>
    <row r="18" spans="1:5" x14ac:dyDescent="0.25">
      <c r="A18" s="1"/>
      <c r="B18" s="75"/>
      <c r="C18" s="74"/>
      <c r="D18" s="14" t="s">
        <v>3</v>
      </c>
      <c r="E18" s="1"/>
    </row>
    <row r="19" spans="1:5" x14ac:dyDescent="0.25">
      <c r="A19" s="1"/>
      <c r="B19" s="75"/>
      <c r="C19" s="74"/>
      <c r="D19" s="14" t="s">
        <v>3</v>
      </c>
      <c r="E19" s="1"/>
    </row>
    <row r="20" spans="1:5" x14ac:dyDescent="0.25">
      <c r="A20" s="1"/>
      <c r="B20" s="33" t="s">
        <v>168</v>
      </c>
      <c r="C20" s="12">
        <f>SUM(C10:C19)</f>
        <v>11569920.01</v>
      </c>
      <c r="D20" s="13" t="s">
        <v>3</v>
      </c>
      <c r="E20" s="1"/>
    </row>
    <row r="21" spans="1:5" x14ac:dyDescent="0.25">
      <c r="A21" s="1"/>
      <c r="B21" s="33" t="s">
        <v>169</v>
      </c>
      <c r="C21" s="12">
        <f>C20*(1+'Fane 15. Nøgletal'!C10)^2</f>
        <v>13154949.185014756</v>
      </c>
      <c r="D21" s="13" t="s">
        <v>3</v>
      </c>
      <c r="E21" s="1"/>
    </row>
    <row r="22" spans="1:5" x14ac:dyDescent="0.25">
      <c r="A22" s="1"/>
      <c r="B22" s="16"/>
      <c r="C22" s="15"/>
      <c r="D22" s="15"/>
      <c r="E22" s="1"/>
    </row>
    <row r="23" spans="1:5" x14ac:dyDescent="0.25">
      <c r="A23" s="1"/>
      <c r="B23" s="16"/>
      <c r="C23" s="15"/>
      <c r="D23" s="15"/>
      <c r="E23" s="1"/>
    </row>
    <row r="24" spans="1:5" x14ac:dyDescent="0.25">
      <c r="A24" s="1"/>
      <c r="B24" s="117" t="s">
        <v>61</v>
      </c>
      <c r="C24" s="118"/>
      <c r="D24" s="119"/>
      <c r="E24" s="1"/>
    </row>
    <row r="25" spans="1:5" x14ac:dyDescent="0.25">
      <c r="A25" s="1"/>
      <c r="B25" s="37" t="s">
        <v>73</v>
      </c>
      <c r="C25" s="9">
        <v>0</v>
      </c>
      <c r="D25" s="14" t="s">
        <v>3</v>
      </c>
      <c r="E25" s="1"/>
    </row>
    <row r="26" spans="1:5" x14ac:dyDescent="0.25">
      <c r="A26" s="1"/>
      <c r="B26" s="37" t="s">
        <v>84</v>
      </c>
      <c r="C26" s="9">
        <v>0</v>
      </c>
      <c r="D26" s="14" t="s">
        <v>3</v>
      </c>
      <c r="E26" s="1"/>
    </row>
    <row r="27" spans="1:5" x14ac:dyDescent="0.25">
      <c r="A27" s="1"/>
      <c r="B27" s="37" t="s">
        <v>149</v>
      </c>
      <c r="C27" s="9">
        <v>0</v>
      </c>
      <c r="D27" s="14" t="s">
        <v>3</v>
      </c>
      <c r="E27" s="1"/>
    </row>
    <row r="28" spans="1:5" x14ac:dyDescent="0.25">
      <c r="A28" s="1"/>
      <c r="B28" s="34" t="s">
        <v>170</v>
      </c>
      <c r="C28" s="9">
        <v>0</v>
      </c>
      <c r="D28" s="36" t="s">
        <v>3</v>
      </c>
      <c r="E28" s="1"/>
    </row>
    <row r="29" spans="1:5" x14ac:dyDescent="0.25">
      <c r="A29" s="1"/>
      <c r="B29" s="117"/>
      <c r="C29" s="118"/>
      <c r="D29" s="119"/>
      <c r="E29" s="1"/>
    </row>
    <row r="30" spans="1:5" x14ac:dyDescent="0.25">
      <c r="A30" s="1"/>
      <c r="B30" s="1"/>
      <c r="C30" s="1"/>
      <c r="D30" s="1"/>
      <c r="E30" s="1"/>
    </row>
    <row r="31" spans="1:5" x14ac:dyDescent="0.25">
      <c r="A31" s="1"/>
      <c r="B31" s="1"/>
      <c r="C31" s="1"/>
      <c r="D31" s="1"/>
      <c r="E31" s="1"/>
    </row>
    <row r="32" spans="1:5" x14ac:dyDescent="0.25">
      <c r="A32" s="1"/>
      <c r="B32" s="117" t="s">
        <v>48</v>
      </c>
      <c r="C32" s="118"/>
      <c r="D32" s="119"/>
      <c r="E32" s="1"/>
    </row>
    <row r="33" spans="1:5" x14ac:dyDescent="0.25">
      <c r="A33" s="1"/>
      <c r="B33" s="37" t="s">
        <v>73</v>
      </c>
      <c r="C33" s="9">
        <v>9180751</v>
      </c>
      <c r="D33" s="14" t="s">
        <v>3</v>
      </c>
      <c r="E33" s="1"/>
    </row>
    <row r="34" spans="1:5" x14ac:dyDescent="0.25">
      <c r="A34" s="1"/>
      <c r="B34" s="37" t="s">
        <v>84</v>
      </c>
      <c r="C34" s="9">
        <v>9180752</v>
      </c>
      <c r="D34" s="14" t="s">
        <v>3</v>
      </c>
      <c r="E34" s="1"/>
    </row>
    <row r="35" spans="1:5" x14ac:dyDescent="0.25">
      <c r="A35" s="1"/>
      <c r="B35" s="37" t="s">
        <v>149</v>
      </c>
      <c r="C35" s="9">
        <v>0</v>
      </c>
      <c r="D35" s="14" t="s">
        <v>3</v>
      </c>
      <c r="E35" s="1"/>
    </row>
    <row r="36" spans="1:5" x14ac:dyDescent="0.25">
      <c r="A36" s="1"/>
      <c r="B36" s="34" t="s">
        <v>170</v>
      </c>
      <c r="C36" s="9">
        <v>0</v>
      </c>
      <c r="D36" s="36" t="s">
        <v>3</v>
      </c>
      <c r="E36" s="1"/>
    </row>
    <row r="37" spans="1:5" x14ac:dyDescent="0.25">
      <c r="A37" s="1"/>
      <c r="B37" s="117"/>
      <c r="C37" s="118"/>
      <c r="D37" s="119"/>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row r="56" spans="1:5" hidden="1" x14ac:dyDescent="0.25">
      <c r="A56" s="44"/>
      <c r="B56" s="44"/>
      <c r="C56" s="44"/>
      <c r="D56" s="44"/>
      <c r="E56" s="44"/>
    </row>
  </sheetData>
  <sheetProtection algorithmName="SHA-512" hashValue="OnUG7BDrJkQ1C9qTN++w1xfp48Q1iTgpaBKE2a1rsGVYyH9cC7L+uQYzCEY3FcRuy8UP6XIARKWjUG3uIADsHw==" saltValue="VIu2EDPJAYtnUbykKJoudQ=="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21"/>
  <dimension ref="A1:E53"/>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16" t="s">
        <v>202</v>
      </c>
      <c r="C3" s="116"/>
      <c r="D3" s="116"/>
      <c r="E3" s="1"/>
    </row>
    <row r="4" spans="1:5" ht="15" customHeight="1" x14ac:dyDescent="0.25">
      <c r="A4" s="1"/>
      <c r="B4" s="116"/>
      <c r="C4" s="116"/>
      <c r="D4" s="116"/>
      <c r="E4" s="1"/>
    </row>
    <row r="5" spans="1:5" ht="15" customHeight="1" x14ac:dyDescent="0.25">
      <c r="A5" s="1"/>
      <c r="B5" s="116"/>
      <c r="C5" s="116"/>
      <c r="D5" s="116"/>
      <c r="E5" s="1"/>
    </row>
    <row r="6" spans="1:5" ht="15" customHeight="1" x14ac:dyDescent="0.25">
      <c r="A6" s="1"/>
      <c r="B6" s="81"/>
      <c r="C6" s="81"/>
      <c r="D6" s="81"/>
      <c r="E6" s="1"/>
    </row>
    <row r="7" spans="1:5" x14ac:dyDescent="0.25">
      <c r="A7" s="1"/>
      <c r="B7" s="1"/>
      <c r="C7" s="1"/>
      <c r="D7" s="1"/>
      <c r="E7" s="1"/>
    </row>
    <row r="8" spans="1:5" x14ac:dyDescent="0.25">
      <c r="A8" s="1"/>
      <c r="B8" s="117" t="s">
        <v>78</v>
      </c>
      <c r="C8" s="118"/>
      <c r="D8" s="119"/>
      <c r="E8" s="1"/>
    </row>
    <row r="9" spans="1:5" x14ac:dyDescent="0.25">
      <c r="A9" s="1"/>
      <c r="B9" s="66" t="s">
        <v>205</v>
      </c>
      <c r="C9" s="9">
        <v>-11439564.05650866</v>
      </c>
      <c r="D9" s="14" t="s">
        <v>3</v>
      </c>
      <c r="E9" s="1"/>
    </row>
    <row r="10" spans="1:5" x14ac:dyDescent="0.25">
      <c r="A10" s="1"/>
      <c r="B10" s="33"/>
      <c r="C10" s="28"/>
      <c r="D10" s="19"/>
      <c r="E10" s="1"/>
    </row>
    <row r="11" spans="1:5" ht="53.25" customHeight="1" x14ac:dyDescent="0.25">
      <c r="A11" s="1"/>
      <c r="B11" s="128" t="s">
        <v>213</v>
      </c>
      <c r="C11" s="129"/>
      <c r="D11" s="130"/>
      <c r="E11" s="1"/>
    </row>
    <row r="12" spans="1:5" x14ac:dyDescent="0.25">
      <c r="A12" s="1"/>
      <c r="B12" s="1"/>
      <c r="C12" s="1"/>
      <c r="D12" s="1"/>
      <c r="E12" s="1"/>
    </row>
    <row r="13" spans="1:5" x14ac:dyDescent="0.25">
      <c r="A13" s="1"/>
      <c r="B13" s="117" t="s">
        <v>79</v>
      </c>
      <c r="C13" s="118"/>
      <c r="D13" s="119"/>
      <c r="E13" s="1"/>
    </row>
    <row r="14" spans="1:5" x14ac:dyDescent="0.25">
      <c r="A14" s="1"/>
      <c r="B14" s="66" t="s">
        <v>203</v>
      </c>
      <c r="C14" s="9">
        <v>-5719782.2099999785</v>
      </c>
      <c r="D14" s="14" t="s">
        <v>3</v>
      </c>
      <c r="E14" s="1"/>
    </row>
    <row r="15" spans="1:5" x14ac:dyDescent="0.25">
      <c r="A15" s="1"/>
      <c r="B15" s="66" t="s">
        <v>204</v>
      </c>
      <c r="C15" s="9">
        <v>-5719782.2099999785</v>
      </c>
      <c r="D15" s="14" t="s">
        <v>3</v>
      </c>
      <c r="E15" s="1"/>
    </row>
    <row r="16" spans="1:5" x14ac:dyDescent="0.25">
      <c r="A16" s="1"/>
      <c r="B16" s="33"/>
      <c r="C16" s="28"/>
      <c r="D16" s="19"/>
      <c r="E16" s="1"/>
    </row>
    <row r="17" spans="1:5" ht="29.25" customHeight="1" x14ac:dyDescent="0.25">
      <c r="A17" s="1"/>
      <c r="B17" s="128" t="s">
        <v>122</v>
      </c>
      <c r="C17" s="129"/>
      <c r="D17" s="130"/>
      <c r="E17" s="1"/>
    </row>
    <row r="18" spans="1:5" x14ac:dyDescent="0.25">
      <c r="A18" s="1"/>
      <c r="B18" s="1"/>
      <c r="C18" s="1"/>
      <c r="D18" s="1"/>
      <c r="E18" s="1"/>
    </row>
    <row r="19" spans="1:5" x14ac:dyDescent="0.25">
      <c r="A19" s="1"/>
      <c r="B19" s="82" t="s">
        <v>206</v>
      </c>
      <c r="C19" s="83"/>
      <c r="D19" s="84"/>
      <c r="E19" s="1"/>
    </row>
    <row r="20" spans="1:5" x14ac:dyDescent="0.25">
      <c r="A20" s="1"/>
      <c r="B20" s="66" t="s">
        <v>207</v>
      </c>
      <c r="C20" s="9">
        <v>295544049.52403271</v>
      </c>
      <c r="D20" s="14" t="s">
        <v>3</v>
      </c>
      <c r="E20" s="1"/>
    </row>
    <row r="21" spans="1:5" x14ac:dyDescent="0.25">
      <c r="A21" s="1"/>
      <c r="B21" s="66" t="s">
        <v>208</v>
      </c>
      <c r="C21" s="9">
        <v>289718395.22000003</v>
      </c>
      <c r="D21" s="14" t="s">
        <v>3</v>
      </c>
      <c r="E21" s="1"/>
    </row>
    <row r="22" spans="1:5" x14ac:dyDescent="0.25">
      <c r="A22" s="1"/>
      <c r="B22" s="66" t="s">
        <v>29</v>
      </c>
      <c r="C22" s="9">
        <v>5622205</v>
      </c>
      <c r="D22" s="14" t="s">
        <v>3</v>
      </c>
      <c r="E22" s="1"/>
    </row>
    <row r="23" spans="1:5" x14ac:dyDescent="0.25">
      <c r="A23" s="1"/>
      <c r="B23" s="88" t="s">
        <v>209</v>
      </c>
      <c r="C23" s="57">
        <f>C20-C21-C22</f>
        <v>203449.30403268337</v>
      </c>
      <c r="D23" s="17" t="s">
        <v>3</v>
      </c>
      <c r="E23" s="1"/>
    </row>
    <row r="24" spans="1:5" x14ac:dyDescent="0.25">
      <c r="A24" s="1"/>
      <c r="B24" s="33"/>
      <c r="C24" s="28"/>
      <c r="D24" s="19"/>
      <c r="E24" s="1"/>
    </row>
    <row r="25" spans="1:5" x14ac:dyDescent="0.25">
      <c r="A25" s="1"/>
      <c r="B25" s="1"/>
      <c r="C25" s="1"/>
      <c r="D25" s="1"/>
      <c r="E25" s="1"/>
    </row>
    <row r="26" spans="1:5" x14ac:dyDescent="0.25">
      <c r="A26" s="1"/>
      <c r="B26" s="117" t="s">
        <v>210</v>
      </c>
      <c r="C26" s="118"/>
      <c r="D26" s="119"/>
      <c r="E26" s="1"/>
    </row>
    <row r="27" spans="1:5" x14ac:dyDescent="0.25">
      <c r="A27" s="1"/>
      <c r="B27" s="88" t="s">
        <v>211</v>
      </c>
      <c r="C27" s="57">
        <f>IF(AND(C15&lt;0,C23&gt;0,ABS(SUM(C14:C15))&lt;C23),ABS(C14),IF(AND(C15&lt;0,C23&gt;0,ABS(SUM(C14:C15))&gt;C23),SUM(C14,C23),C15))</f>
        <v>-5516332.9059672952</v>
      </c>
      <c r="D27" s="17" t="s">
        <v>3</v>
      </c>
      <c r="E27" s="1"/>
    </row>
    <row r="28" spans="1:5" x14ac:dyDescent="0.25">
      <c r="A28" s="1"/>
      <c r="B28" s="117"/>
      <c r="C28" s="118"/>
      <c r="D28" s="119"/>
      <c r="E28" s="1"/>
    </row>
    <row r="29" spans="1:5" x14ac:dyDescent="0.25">
      <c r="A29" s="1"/>
      <c r="B29" s="1"/>
      <c r="C29" s="1"/>
      <c r="D29" s="1"/>
      <c r="E29" s="1"/>
    </row>
    <row r="30" spans="1:5" x14ac:dyDescent="0.25">
      <c r="A30" s="1"/>
      <c r="B30" s="117" t="s">
        <v>212</v>
      </c>
      <c r="C30" s="118"/>
      <c r="D30" s="119"/>
      <c r="E30" s="1"/>
    </row>
    <row r="31" spans="1:5" x14ac:dyDescent="0.25">
      <c r="A31" s="1"/>
      <c r="B31" s="67" t="s">
        <v>70</v>
      </c>
      <c r="C31" s="58">
        <f>IF(AND(C9&gt;0,(C9+C23)&gt;0),0,IF(AND(C9&gt;0,(C9+C23)&lt;0),(C9+C23),IF(AND(C9&lt;0,C23&lt;0),C23,0)))</f>
        <v>0</v>
      </c>
      <c r="D31" s="14" t="s">
        <v>3</v>
      </c>
      <c r="E31" s="1"/>
    </row>
    <row r="32" spans="1:5" x14ac:dyDescent="0.25">
      <c r="A32" s="1"/>
      <c r="B32" s="67" t="s">
        <v>50</v>
      </c>
      <c r="C32" s="9">
        <v>2</v>
      </c>
      <c r="D32" s="14" t="s">
        <v>20</v>
      </c>
      <c r="E32" s="1"/>
    </row>
    <row r="33" spans="1:5" x14ac:dyDescent="0.25">
      <c r="A33" s="1"/>
      <c r="B33" s="68" t="s">
        <v>71</v>
      </c>
      <c r="C33" s="57">
        <f>C31/C32</f>
        <v>0</v>
      </c>
      <c r="D33" s="17" t="s">
        <v>3</v>
      </c>
      <c r="E33" s="1"/>
    </row>
    <row r="34" spans="1:5" x14ac:dyDescent="0.25">
      <c r="A34" s="1"/>
      <c r="B34" s="125"/>
      <c r="C34" s="126"/>
      <c r="D34" s="127"/>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hidden="1" x14ac:dyDescent="0.25">
      <c r="A46" s="44"/>
      <c r="B46" s="44"/>
      <c r="C46" s="44"/>
      <c r="D46" s="44"/>
      <c r="E46" s="44"/>
    </row>
    <row r="47" spans="1:5" hidden="1" x14ac:dyDescent="0.25">
      <c r="A47" s="44"/>
      <c r="B47" s="44"/>
      <c r="C47" s="44"/>
      <c r="D47" s="44"/>
      <c r="E47" s="44"/>
    </row>
    <row r="48" spans="1:5" hidden="1" x14ac:dyDescent="0.25">
      <c r="A48" s="44"/>
      <c r="B48" s="44"/>
      <c r="C48" s="44"/>
      <c r="D48" s="44"/>
      <c r="E48" s="44"/>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E53" s="44"/>
    </row>
  </sheetData>
  <sheetProtection algorithmName="SHA-512" hashValue="iG7t+jb9ntEABR1H5EzBBrHglBMgBk97FpuOkDRMlaTbIxQU9AduXuDMXOUgHZ517QvPqwO4yvOiExe5LwxWeg==" saltValue="7EJEAwk92PRE4SQr1f8KUw==" spinCount="100000" sheet="1" objects="1" scenarios="1"/>
  <mergeCells count="9">
    <mergeCell ref="B3:D5"/>
    <mergeCell ref="B30:D30"/>
    <mergeCell ref="B34:D34"/>
    <mergeCell ref="B28:D28"/>
    <mergeCell ref="B8:D8"/>
    <mergeCell ref="B11:D11"/>
    <mergeCell ref="B13:D13"/>
    <mergeCell ref="B17:D17"/>
    <mergeCell ref="B26:D26"/>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E49"/>
  <sheetViews>
    <sheetView zoomScaleNormal="100" workbookViewId="0"/>
  </sheetViews>
  <sheetFormatPr defaultColWidth="0" defaultRowHeight="15" zeroHeight="1" x14ac:dyDescent="0.25"/>
  <cols>
    <col min="1" max="1" width="5.28515625" style="56" customWidth="1"/>
    <col min="2" max="2" width="57.140625" style="56" customWidth="1"/>
    <col min="3" max="3" width="12.5703125" style="56" customWidth="1"/>
    <col min="4" max="4" width="3.140625" style="56" customWidth="1"/>
    <col min="5" max="5" width="5.28515625" style="56" customWidth="1"/>
    <col min="6" max="16384" width="9.140625" style="56" hidden="1"/>
  </cols>
  <sheetData>
    <row r="1" spans="1:5" x14ac:dyDescent="0.25">
      <c r="A1" s="1"/>
      <c r="B1" s="1"/>
      <c r="C1" s="1"/>
      <c r="D1" s="1"/>
      <c r="E1" s="1"/>
    </row>
    <row r="2" spans="1:5" x14ac:dyDescent="0.25">
      <c r="A2" s="1"/>
      <c r="B2" s="1"/>
      <c r="C2" s="1"/>
      <c r="D2" s="1"/>
      <c r="E2" s="1"/>
    </row>
    <row r="3" spans="1:5" ht="15" customHeight="1" x14ac:dyDescent="0.25">
      <c r="A3" s="1"/>
      <c r="B3" s="116" t="s">
        <v>102</v>
      </c>
      <c r="C3" s="116"/>
      <c r="D3" s="116"/>
      <c r="E3" s="1"/>
    </row>
    <row r="4" spans="1:5" ht="15" customHeight="1" x14ac:dyDescent="0.25">
      <c r="A4" s="1"/>
      <c r="B4" s="116"/>
      <c r="C4" s="116"/>
      <c r="D4" s="116"/>
      <c r="E4" s="1"/>
    </row>
    <row r="5" spans="1:5" x14ac:dyDescent="0.25">
      <c r="A5" s="1"/>
      <c r="B5" s="116"/>
      <c r="C5" s="116"/>
      <c r="D5" s="116"/>
      <c r="E5" s="1"/>
    </row>
    <row r="6" spans="1:5" x14ac:dyDescent="0.25">
      <c r="A6" s="1"/>
      <c r="B6" s="1"/>
      <c r="C6" s="1"/>
      <c r="D6" s="1"/>
      <c r="E6" s="1"/>
    </row>
    <row r="7" spans="1:5" x14ac:dyDescent="0.25">
      <c r="A7" s="1"/>
      <c r="B7" s="1"/>
      <c r="C7" s="1"/>
      <c r="D7" s="1"/>
      <c r="E7" s="1"/>
    </row>
    <row r="8" spans="1:5" x14ac:dyDescent="0.25">
      <c r="A8" s="1"/>
      <c r="B8" s="117" t="s">
        <v>121</v>
      </c>
      <c r="C8" s="118"/>
      <c r="D8" s="119"/>
      <c r="E8" s="1"/>
    </row>
    <row r="9" spans="1:5" ht="15" customHeight="1" x14ac:dyDescent="0.25">
      <c r="A9" s="1"/>
      <c r="B9" s="131" t="s">
        <v>103</v>
      </c>
      <c r="C9" s="132"/>
      <c r="D9" s="133"/>
      <c r="E9" s="1"/>
    </row>
    <row r="10" spans="1:5" x14ac:dyDescent="0.25">
      <c r="A10" s="1"/>
      <c r="B10" s="69" t="s">
        <v>104</v>
      </c>
      <c r="C10" s="9"/>
      <c r="D10" s="9" t="s">
        <v>3</v>
      </c>
      <c r="E10" s="1"/>
    </row>
    <row r="11" spans="1:5" x14ac:dyDescent="0.25">
      <c r="A11" s="1"/>
      <c r="B11" s="69" t="s">
        <v>105</v>
      </c>
      <c r="C11" s="9"/>
      <c r="D11" s="9" t="s">
        <v>3</v>
      </c>
      <c r="E11" s="1"/>
    </row>
    <row r="12" spans="1:5" x14ac:dyDescent="0.25">
      <c r="A12" s="1"/>
      <c r="B12" s="69" t="s">
        <v>106</v>
      </c>
      <c r="C12" s="9"/>
      <c r="D12" s="9" t="s">
        <v>3</v>
      </c>
      <c r="E12" s="1"/>
    </row>
    <row r="13" spans="1:5" x14ac:dyDescent="0.25">
      <c r="A13" s="1"/>
      <c r="B13" s="69" t="s">
        <v>107</v>
      </c>
      <c r="C13" s="9"/>
      <c r="D13" s="9" t="s">
        <v>3</v>
      </c>
      <c r="E13" s="1"/>
    </row>
    <row r="14" spans="1:5" x14ac:dyDescent="0.25">
      <c r="A14" s="1"/>
      <c r="B14" s="69" t="s">
        <v>108</v>
      </c>
      <c r="C14" s="9"/>
      <c r="D14" s="9" t="s">
        <v>3</v>
      </c>
      <c r="E14" s="1"/>
    </row>
    <row r="15" spans="1:5" x14ac:dyDescent="0.25">
      <c r="A15" s="1"/>
      <c r="B15" s="69" t="s">
        <v>109</v>
      </c>
      <c r="C15" s="9"/>
      <c r="D15" s="9" t="s">
        <v>3</v>
      </c>
      <c r="E15" s="1"/>
    </row>
    <row r="16" spans="1:5" x14ac:dyDescent="0.25">
      <c r="A16" s="1"/>
      <c r="B16" s="69" t="s">
        <v>110</v>
      </c>
      <c r="C16" s="9"/>
      <c r="D16" s="9" t="s">
        <v>3</v>
      </c>
      <c r="E16" s="1"/>
    </row>
    <row r="17" spans="1:5" x14ac:dyDescent="0.25">
      <c r="A17" s="1"/>
      <c r="B17" s="69" t="s">
        <v>111</v>
      </c>
      <c r="C17" s="9"/>
      <c r="D17" s="9" t="s">
        <v>3</v>
      </c>
      <c r="E17" s="1"/>
    </row>
    <row r="18" spans="1:5" x14ac:dyDescent="0.25">
      <c r="A18" s="1"/>
      <c r="B18" s="82" t="s">
        <v>112</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WdsDw09fAjqDqSGvOlelds/2dBbEmJrTB49H0YF4f+6LnBp1uxOOj92jm6HRuvn/21YG1OfTQaA0Z8/U59G+DQ==" saltValue="ueMEo5EZZ3rfFO58fnzXDw==" spinCount="100000" sheet="1" objects="1" scenarios="1"/>
  <mergeCells count="3">
    <mergeCell ref="B9:D9"/>
    <mergeCell ref="B8:D8"/>
    <mergeCell ref="B3:D5"/>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E48"/>
  <sheetViews>
    <sheetView showGridLines="0" zoomScaleNormal="100" workbookViewId="0"/>
  </sheetViews>
  <sheetFormatPr defaultColWidth="0" defaultRowHeight="15" zeroHeight="1" x14ac:dyDescent="0.25"/>
  <cols>
    <col min="1" max="1" width="5.28515625" style="2" customWidth="1"/>
    <col min="2" max="2" width="55.710937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16" t="s">
        <v>171</v>
      </c>
      <c r="C3" s="116"/>
      <c r="D3" s="116"/>
      <c r="E3" s="1"/>
    </row>
    <row r="4" spans="1:5" ht="15" customHeight="1" x14ac:dyDescent="0.25">
      <c r="A4" s="1"/>
      <c r="B4" s="116"/>
      <c r="C4" s="116"/>
      <c r="D4" s="116"/>
      <c r="E4" s="1"/>
    </row>
    <row r="5" spans="1:5" x14ac:dyDescent="0.25">
      <c r="A5" s="1"/>
      <c r="B5" s="1"/>
      <c r="C5" s="1"/>
      <c r="D5" s="1"/>
      <c r="E5" s="1"/>
    </row>
    <row r="6" spans="1:5" x14ac:dyDescent="0.25">
      <c r="A6" s="1"/>
      <c r="B6" s="1"/>
      <c r="C6" s="1"/>
      <c r="D6" s="1"/>
      <c r="E6" s="1"/>
    </row>
    <row r="7" spans="1:5" x14ac:dyDescent="0.25">
      <c r="A7" s="1"/>
      <c r="B7" s="1"/>
      <c r="C7" s="1"/>
      <c r="D7" s="1"/>
      <c r="E7" s="1"/>
    </row>
    <row r="8" spans="1:5" ht="15" customHeight="1" x14ac:dyDescent="0.25">
      <c r="A8" s="1"/>
      <c r="B8" s="117" t="s">
        <v>172</v>
      </c>
      <c r="C8" s="118"/>
      <c r="D8" s="119"/>
      <c r="E8" s="1"/>
    </row>
    <row r="9" spans="1:5" ht="26.25" x14ac:dyDescent="0.25">
      <c r="A9" s="1"/>
      <c r="B9" s="85" t="s">
        <v>218</v>
      </c>
      <c r="C9" s="7">
        <v>0</v>
      </c>
      <c r="D9" s="8" t="s">
        <v>3</v>
      </c>
      <c r="E9" s="1"/>
    </row>
    <row r="10" spans="1:5" ht="14.25" customHeight="1" x14ac:dyDescent="0.25">
      <c r="A10" s="1"/>
      <c r="B10" s="66" t="s">
        <v>173</v>
      </c>
      <c r="C10" s="7">
        <v>0</v>
      </c>
      <c r="D10" s="8" t="s">
        <v>3</v>
      </c>
      <c r="E10" s="1"/>
    </row>
    <row r="11" spans="1:5" ht="14.25" customHeight="1" x14ac:dyDescent="0.25">
      <c r="A11" s="1"/>
      <c r="B11" s="88" t="s">
        <v>49</v>
      </c>
      <c r="C11" s="10">
        <f>C10-C9</f>
        <v>0</v>
      </c>
      <c r="D11" s="11" t="s">
        <v>3</v>
      </c>
      <c r="E11" s="1"/>
    </row>
    <row r="12" spans="1:5" ht="14.25" customHeight="1" x14ac:dyDescent="0.25">
      <c r="A12" s="1"/>
      <c r="B12" s="117" t="s">
        <v>220</v>
      </c>
      <c r="C12" s="118"/>
      <c r="D12" s="119"/>
      <c r="E12" s="1"/>
    </row>
    <row r="13" spans="1:5" ht="26.25" x14ac:dyDescent="0.25">
      <c r="A13" s="1"/>
      <c r="B13" s="85" t="s">
        <v>219</v>
      </c>
      <c r="C13" s="7">
        <v>0</v>
      </c>
      <c r="D13" s="8" t="s">
        <v>3</v>
      </c>
      <c r="E13" s="1"/>
    </row>
    <row r="14" spans="1:5" ht="14.25" customHeight="1" x14ac:dyDescent="0.25">
      <c r="A14" s="1"/>
      <c r="B14" s="66" t="s">
        <v>174</v>
      </c>
      <c r="C14" s="7">
        <v>0</v>
      </c>
      <c r="D14" s="8" t="s">
        <v>3</v>
      </c>
      <c r="E14" s="1"/>
    </row>
    <row r="15" spans="1:5" ht="14.25" customHeight="1" x14ac:dyDescent="0.25">
      <c r="A15" s="1"/>
      <c r="B15" s="88" t="s">
        <v>49</v>
      </c>
      <c r="C15" s="10">
        <f>C14-C13</f>
        <v>0</v>
      </c>
      <c r="D15" s="11" t="s">
        <v>3</v>
      </c>
      <c r="E15" s="1"/>
    </row>
    <row r="16" spans="1:5" ht="14.25" customHeight="1" x14ac:dyDescent="0.25">
      <c r="A16" s="1"/>
      <c r="B16" s="33" t="s">
        <v>175</v>
      </c>
      <c r="C16" s="12">
        <f>C11+C15</f>
        <v>0</v>
      </c>
      <c r="D16" s="13" t="s">
        <v>3</v>
      </c>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5p82XGYwDAsjvoduMCO1J/aNTHEbBF+gqhFDKqbmIBeawVBw2xsYPoEG5+blah9mpTPxhiGT/YsIpRWNvsXYfw==" saltValue="Z0cFa6hKZC7unxZ/CVKs1A==" spinCount="100000" sheet="1" objects="1" scenarios="1"/>
  <mergeCells count="3">
    <mergeCell ref="B12:D12"/>
    <mergeCell ref="B3:D4"/>
    <mergeCell ref="B8:D8"/>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10" t="s">
        <v>114</v>
      </c>
      <c r="C3" s="110"/>
      <c r="D3" s="110"/>
      <c r="E3" s="110"/>
      <c r="F3" s="110"/>
      <c r="G3" s="110"/>
      <c r="H3" s="110"/>
      <c r="I3" s="110"/>
      <c r="J3" s="110"/>
      <c r="K3" s="110"/>
      <c r="L3" s="1"/>
    </row>
    <row r="4" spans="1:12" ht="15" customHeight="1" x14ac:dyDescent="0.25">
      <c r="A4" s="1"/>
      <c r="B4" s="110"/>
      <c r="C4" s="110"/>
      <c r="D4" s="110"/>
      <c r="E4" s="110"/>
      <c r="F4" s="110"/>
      <c r="G4" s="110"/>
      <c r="H4" s="110"/>
      <c r="I4" s="110"/>
      <c r="J4" s="110"/>
      <c r="K4" s="110"/>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17" t="s">
        <v>87</v>
      </c>
      <c r="C8" s="118"/>
      <c r="D8" s="118"/>
      <c r="E8" s="118"/>
      <c r="F8" s="118"/>
      <c r="G8" s="118"/>
      <c r="H8" s="118"/>
      <c r="I8" s="118"/>
      <c r="J8" s="118"/>
      <c r="K8" s="119"/>
      <c r="L8" s="1"/>
    </row>
    <row r="9" spans="1:12" ht="39.75" customHeight="1" x14ac:dyDescent="0.25">
      <c r="A9" s="1"/>
      <c r="B9" s="18" t="s">
        <v>0</v>
      </c>
      <c r="C9" s="18" t="s">
        <v>1</v>
      </c>
      <c r="D9" s="134" t="s">
        <v>97</v>
      </c>
      <c r="E9" s="135"/>
      <c r="F9" s="134" t="s">
        <v>2</v>
      </c>
      <c r="G9" s="135"/>
      <c r="H9" s="134" t="s">
        <v>96</v>
      </c>
      <c r="I9" s="135"/>
      <c r="J9" s="134" t="s">
        <v>26</v>
      </c>
      <c r="K9" s="135"/>
      <c r="L9" s="1"/>
    </row>
    <row r="10" spans="1:12" x14ac:dyDescent="0.25">
      <c r="A10" s="1"/>
      <c r="B10" s="69" t="s">
        <v>225</v>
      </c>
      <c r="C10" s="42">
        <v>0</v>
      </c>
      <c r="D10" s="9">
        <v>0</v>
      </c>
      <c r="E10" s="14" t="s">
        <v>3</v>
      </c>
      <c r="F10" s="9">
        <f>IFERROR(D10/C10,0)</f>
        <v>0</v>
      </c>
      <c r="G10" s="14" t="s">
        <v>3</v>
      </c>
      <c r="H10" s="38">
        <v>0</v>
      </c>
      <c r="I10" s="14" t="s">
        <v>3</v>
      </c>
      <c r="J10" s="38">
        <v>0</v>
      </c>
      <c r="K10" s="14" t="s">
        <v>3</v>
      </c>
      <c r="L10" s="1"/>
    </row>
    <row r="11" spans="1:12" x14ac:dyDescent="0.25">
      <c r="A11" s="1"/>
      <c r="B11" s="82" t="s">
        <v>222</v>
      </c>
      <c r="C11" s="83"/>
      <c r="D11" s="84"/>
      <c r="E11" s="84"/>
      <c r="F11" s="12">
        <f>SUM(F10:F10)</f>
        <v>0</v>
      </c>
      <c r="G11" s="12" t="s">
        <v>95</v>
      </c>
      <c r="H11" s="12">
        <f>SUM(H10:H10)</f>
        <v>0</v>
      </c>
      <c r="I11" s="12" t="s">
        <v>95</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hidden="1" x14ac:dyDescent="0.25">
      <c r="A47" s="44"/>
      <c r="B47" s="44"/>
      <c r="C47" s="44"/>
      <c r="D47" s="44"/>
      <c r="E47" s="44"/>
      <c r="F47" s="44"/>
      <c r="G47" s="44"/>
      <c r="H47" s="44"/>
      <c r="I47" s="44"/>
      <c r="J47" s="44"/>
      <c r="K47" s="44"/>
      <c r="L47" s="44"/>
    </row>
    <row r="48" spans="1:12" hidden="1" x14ac:dyDescent="0.25">
      <c r="A48" s="44"/>
      <c r="B48" s="44"/>
      <c r="C48" s="44"/>
      <c r="D48" s="44"/>
      <c r="E48" s="44"/>
      <c r="F48" s="44"/>
      <c r="G48" s="44"/>
      <c r="H48" s="44"/>
      <c r="I48" s="44"/>
      <c r="J48" s="44"/>
      <c r="K48" s="44"/>
      <c r="L48" s="44"/>
    </row>
    <row r="49" hidden="1" x14ac:dyDescent="0.25"/>
    <row r="50" hidden="1" x14ac:dyDescent="0.25"/>
    <row r="51" hidden="1" x14ac:dyDescent="0.25"/>
    <row r="52" hidden="1" x14ac:dyDescent="0.25"/>
  </sheetData>
  <sheetProtection algorithmName="SHA-512" hashValue="BN2ZYU5g9q3++B5kLMtExY63jAU0tYygZaQxlBt3qBgYoXGg7bsEKZsDdpw6Un6y9ddk6y1Zy5oviljShyGRpA==" saltValue="kJ5BZI8LlJ70jRQkR4scVg=="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0" t="s">
        <v>115</v>
      </c>
      <c r="C3" s="110"/>
      <c r="D3" s="110"/>
      <c r="E3" s="110"/>
      <c r="F3" s="110"/>
      <c r="G3" s="1"/>
    </row>
    <row r="4" spans="1:7" ht="15" customHeight="1" x14ac:dyDescent="0.25">
      <c r="A4" s="1"/>
      <c r="B4" s="110"/>
      <c r="C4" s="110"/>
      <c r="D4" s="110"/>
      <c r="E4" s="110"/>
      <c r="F4" s="11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37</v>
      </c>
      <c r="C8" s="28"/>
      <c r="D8" s="28"/>
      <c r="E8" s="28"/>
      <c r="F8" s="19"/>
      <c r="G8" s="1"/>
    </row>
    <row r="9" spans="1:7" ht="17.25" customHeight="1" x14ac:dyDescent="0.25">
      <c r="A9" s="1"/>
      <c r="B9" s="86" t="s">
        <v>17</v>
      </c>
      <c r="C9" s="88" t="s">
        <v>11</v>
      </c>
      <c r="D9" s="87"/>
      <c r="E9" s="88" t="s">
        <v>27</v>
      </c>
      <c r="F9" s="32"/>
      <c r="G9" s="1"/>
    </row>
    <row r="10" spans="1:7" x14ac:dyDescent="0.25">
      <c r="A10" s="1"/>
      <c r="B10" s="24" t="s">
        <v>88</v>
      </c>
      <c r="C10" s="21">
        <f>'Fane 10. Anlægsprojekter (§ 19)'!H11</f>
        <v>0</v>
      </c>
      <c r="D10" s="14" t="s">
        <v>3</v>
      </c>
      <c r="E10" s="9">
        <f>'Fane 10. Anlægsprojekter (§ 19)'!F11+'Fane 10. Anlægsprojekter (§ 19)'!J11</f>
        <v>0</v>
      </c>
      <c r="F10" s="14" t="s">
        <v>3</v>
      </c>
      <c r="G10" s="1"/>
    </row>
    <row r="11" spans="1:7" x14ac:dyDescent="0.25">
      <c r="A11" s="1"/>
      <c r="B11" s="24" t="s">
        <v>237</v>
      </c>
      <c r="C11" s="21">
        <v>95562</v>
      </c>
      <c r="D11" s="14" t="s">
        <v>3</v>
      </c>
      <c r="E11" s="9">
        <v>0</v>
      </c>
      <c r="F11" s="14" t="s">
        <v>3</v>
      </c>
      <c r="G11" s="1"/>
    </row>
    <row r="12" spans="1:7" x14ac:dyDescent="0.25">
      <c r="A12" s="1"/>
      <c r="B12" s="24" t="s">
        <v>238</v>
      </c>
      <c r="C12" s="21">
        <v>595433</v>
      </c>
      <c r="D12" s="14" t="s">
        <v>3</v>
      </c>
      <c r="E12" s="9">
        <v>0</v>
      </c>
      <c r="F12" s="14" t="s">
        <v>3</v>
      </c>
      <c r="G12" s="1"/>
    </row>
    <row r="13" spans="1:7" x14ac:dyDescent="0.25">
      <c r="A13" s="1"/>
      <c r="B13" s="24" t="s">
        <v>239</v>
      </c>
      <c r="C13" s="21">
        <v>226978</v>
      </c>
      <c r="D13" s="14" t="s">
        <v>3</v>
      </c>
      <c r="E13" s="9">
        <v>3020615.13</v>
      </c>
      <c r="F13" s="14" t="s">
        <v>3</v>
      </c>
      <c r="G13" s="1"/>
    </row>
    <row r="14" spans="1:7" x14ac:dyDescent="0.25">
      <c r="A14" s="1"/>
      <c r="B14" s="24" t="s">
        <v>240</v>
      </c>
      <c r="C14" s="21">
        <v>477698</v>
      </c>
      <c r="D14" s="14" t="s">
        <v>3</v>
      </c>
      <c r="E14" s="9">
        <v>1051427</v>
      </c>
      <c r="F14" s="14" t="s">
        <v>3</v>
      </c>
      <c r="G14" s="1"/>
    </row>
    <row r="15" spans="1:7" x14ac:dyDescent="0.25">
      <c r="A15" s="1"/>
      <c r="B15" s="24"/>
      <c r="C15" s="21"/>
      <c r="D15" s="14" t="s">
        <v>3</v>
      </c>
      <c r="E15" s="9"/>
      <c r="F15" s="14" t="s">
        <v>3</v>
      </c>
      <c r="G15" s="1"/>
    </row>
    <row r="16" spans="1:7" x14ac:dyDescent="0.25">
      <c r="A16" s="1"/>
      <c r="B16" s="24"/>
      <c r="C16" s="21"/>
      <c r="D16" s="14" t="s">
        <v>3</v>
      </c>
      <c r="E16" s="9"/>
      <c r="F16" s="14" t="s">
        <v>3</v>
      </c>
      <c r="G16" s="1"/>
    </row>
    <row r="17" spans="1:7" x14ac:dyDescent="0.25">
      <c r="A17" s="1"/>
      <c r="B17" s="24"/>
      <c r="C17" s="21"/>
      <c r="D17" s="14" t="s">
        <v>3</v>
      </c>
      <c r="E17" s="9"/>
      <c r="F17" s="14" t="s">
        <v>3</v>
      </c>
      <c r="G17" s="1"/>
    </row>
    <row r="18" spans="1:7" x14ac:dyDescent="0.25">
      <c r="A18" s="1"/>
      <c r="B18" s="24"/>
      <c r="C18" s="21"/>
      <c r="D18" s="14" t="s">
        <v>3</v>
      </c>
      <c r="E18" s="9"/>
      <c r="F18" s="14" t="s">
        <v>3</v>
      </c>
      <c r="G18" s="1"/>
    </row>
    <row r="19" spans="1:7" x14ac:dyDescent="0.25">
      <c r="A19" s="1"/>
      <c r="B19" s="33" t="s">
        <v>140</v>
      </c>
      <c r="C19" s="12">
        <f>SUM(C10:C18)</f>
        <v>1395671</v>
      </c>
      <c r="D19" s="13" t="s">
        <v>3</v>
      </c>
      <c r="E19" s="12">
        <f>SUM(E10:E18)</f>
        <v>4072042.13</v>
      </c>
      <c r="F19" s="13" t="s">
        <v>3</v>
      </c>
      <c r="G19" s="1"/>
    </row>
    <row r="20" spans="1:7" x14ac:dyDescent="0.25">
      <c r="A20" s="1"/>
      <c r="B20" s="33" t="s">
        <v>176</v>
      </c>
      <c r="C20" s="12">
        <f>C19*(1+'Fane 15. Nøgletal'!C10)</f>
        <v>1488203.9872999999</v>
      </c>
      <c r="D20" s="13" t="s">
        <v>3</v>
      </c>
      <c r="E20" s="12">
        <f>E19*(1+'Fane 15. Nøgletal'!C10)</f>
        <v>4342018.5232189996</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2QKr6bmebWA5tQHn44WIlKQEtdU4mvWEeObPipxGD0+mP32DVcts2VXzncdsDHVhb7pbUEyAMQyADHoS4KEFQ==" saltValue="dwg4ciN40RVfiDBH4L+enw=="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42578125" style="2" bestFit="1"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0" t="s">
        <v>116</v>
      </c>
      <c r="C3" s="110"/>
      <c r="D3" s="110"/>
      <c r="E3" s="110"/>
      <c r="F3" s="110"/>
      <c r="G3" s="1"/>
    </row>
    <row r="4" spans="1:7" ht="15" customHeight="1" x14ac:dyDescent="0.25">
      <c r="A4" s="1"/>
      <c r="B4" s="110"/>
      <c r="C4" s="110"/>
      <c r="D4" s="110"/>
      <c r="E4" s="110"/>
      <c r="F4" s="11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17" t="s">
        <v>177</v>
      </c>
      <c r="C8" s="118"/>
      <c r="D8" s="118"/>
      <c r="E8" s="118"/>
      <c r="F8" s="119"/>
      <c r="G8" s="1"/>
    </row>
    <row r="9" spans="1:7" x14ac:dyDescent="0.25">
      <c r="A9" s="1"/>
      <c r="B9" s="86" t="s">
        <v>17</v>
      </c>
      <c r="C9" s="88" t="s">
        <v>11</v>
      </c>
      <c r="D9" s="87"/>
      <c r="E9" s="88" t="s">
        <v>27</v>
      </c>
      <c r="F9" s="32"/>
      <c r="G9" s="1"/>
    </row>
    <row r="10" spans="1:7" x14ac:dyDescent="0.25">
      <c r="A10" s="1"/>
      <c r="B10" s="24" t="s">
        <v>241</v>
      </c>
      <c r="C10" s="21">
        <v>0</v>
      </c>
      <c r="D10" s="14" t="s">
        <v>3</v>
      </c>
      <c r="E10" s="9">
        <v>0</v>
      </c>
      <c r="F10" s="14" t="s">
        <v>3</v>
      </c>
      <c r="G10" s="1"/>
    </row>
    <row r="11" spans="1:7" x14ac:dyDescent="0.25">
      <c r="A11" s="1"/>
      <c r="B11" s="24"/>
      <c r="C11" s="21"/>
      <c r="D11" s="14" t="s">
        <v>3</v>
      </c>
      <c r="E11" s="9"/>
      <c r="F11" s="14" t="s">
        <v>3</v>
      </c>
      <c r="G11" s="1"/>
    </row>
    <row r="12" spans="1:7" x14ac:dyDescent="0.25">
      <c r="A12" s="1"/>
      <c r="B12" s="24"/>
      <c r="C12" s="21"/>
      <c r="D12" s="14" t="s">
        <v>3</v>
      </c>
      <c r="E12" s="9"/>
      <c r="F12" s="14" t="s">
        <v>3</v>
      </c>
      <c r="G12" s="1"/>
    </row>
    <row r="13" spans="1:7" x14ac:dyDescent="0.25">
      <c r="A13" s="1"/>
      <c r="B13" s="33" t="s">
        <v>178</v>
      </c>
      <c r="C13" s="12">
        <f>SUM(C10:C12)</f>
        <v>0</v>
      </c>
      <c r="D13" s="13" t="s">
        <v>3</v>
      </c>
      <c r="E13" s="12">
        <f>SUM(E10:E12)</f>
        <v>0</v>
      </c>
      <c r="F13" s="13" t="s">
        <v>3</v>
      </c>
      <c r="G13" s="1"/>
    </row>
    <row r="14" spans="1:7" x14ac:dyDescent="0.25">
      <c r="A14" s="1"/>
      <c r="B14" s="33" t="s">
        <v>179</v>
      </c>
      <c r="C14" s="12">
        <f>C13*(1+'Fane 15. Nøgletal'!C10)^2</f>
        <v>0</v>
      </c>
      <c r="D14" s="13" t="s">
        <v>3</v>
      </c>
      <c r="E14" s="12">
        <f>E13*(1+'Fane 15. Nøgletal'!C10)^2</f>
        <v>0</v>
      </c>
      <c r="F14" s="13" t="s">
        <v>3</v>
      </c>
      <c r="G14" s="1"/>
    </row>
    <row r="15" spans="1:7" x14ac:dyDescent="0.25">
      <c r="A15" s="1"/>
      <c r="B15" s="1"/>
      <c r="C15" s="1"/>
      <c r="D15" s="1"/>
      <c r="E15" s="1"/>
      <c r="F15" s="1"/>
      <c r="G15" s="1"/>
    </row>
    <row r="16" spans="1:7" x14ac:dyDescent="0.25">
      <c r="A16" s="1"/>
      <c r="B16" s="136"/>
      <c r="C16" s="136"/>
      <c r="D16" s="136"/>
      <c r="E16" s="136"/>
      <c r="F16" s="136"/>
      <c r="G16" s="1"/>
    </row>
    <row r="17" spans="1:7" x14ac:dyDescent="0.25">
      <c r="A17" s="1"/>
      <c r="B17" s="47"/>
      <c r="C17" s="47"/>
      <c r="D17" s="47"/>
      <c r="E17" s="47"/>
      <c r="F17" s="48"/>
      <c r="G17" s="1"/>
    </row>
    <row r="18" spans="1:7" x14ac:dyDescent="0.25">
      <c r="A18" s="1"/>
      <c r="B18" s="49"/>
      <c r="C18" s="50"/>
      <c r="D18" s="51"/>
      <c r="E18" s="52"/>
      <c r="F18" s="51"/>
      <c r="G18" s="1"/>
    </row>
    <row r="19" spans="1:7" x14ac:dyDescent="0.25">
      <c r="A19" s="1"/>
      <c r="B19" s="49"/>
      <c r="C19" s="50"/>
      <c r="D19" s="51"/>
      <c r="E19" s="52"/>
      <c r="F19" s="51"/>
      <c r="G19" s="1"/>
    </row>
    <row r="20" spans="1:7" x14ac:dyDescent="0.25">
      <c r="A20" s="1"/>
      <c r="B20" s="53"/>
      <c r="C20" s="54"/>
      <c r="D20" s="55"/>
      <c r="E20" s="54"/>
      <c r="F20" s="55"/>
      <c r="G20" s="1"/>
    </row>
    <row r="21" spans="1:7" x14ac:dyDescent="0.25">
      <c r="A21" s="1"/>
      <c r="B21" s="53"/>
      <c r="C21" s="54"/>
      <c r="D21" s="55"/>
      <c r="E21" s="54"/>
      <c r="F21" s="55"/>
      <c r="G21" s="1"/>
    </row>
    <row r="22" spans="1:7" x14ac:dyDescent="0.25">
      <c r="A22" s="1"/>
      <c r="B22" s="46"/>
      <c r="C22" s="46"/>
      <c r="D22" s="46"/>
      <c r="E22" s="46"/>
      <c r="F22" s="46"/>
      <c r="G22" s="1"/>
    </row>
    <row r="23" spans="1:7" x14ac:dyDescent="0.25">
      <c r="A23" s="1"/>
      <c r="B23" s="47"/>
      <c r="C23" s="47"/>
      <c r="D23" s="47"/>
      <c r="E23" s="47"/>
      <c r="F23" s="48"/>
      <c r="G23" s="1"/>
    </row>
    <row r="24" spans="1:7" x14ac:dyDescent="0.25">
      <c r="A24" s="1"/>
      <c r="B24" s="49"/>
      <c r="C24" s="50"/>
      <c r="D24" s="51"/>
      <c r="E24" s="52"/>
      <c r="F24" s="51"/>
      <c r="G24" s="1"/>
    </row>
    <row r="25" spans="1:7" x14ac:dyDescent="0.25">
      <c r="A25" s="1"/>
      <c r="B25" s="49"/>
      <c r="C25" s="50"/>
      <c r="D25" s="51"/>
      <c r="E25" s="52"/>
      <c r="F25" s="51"/>
      <c r="G25" s="1"/>
    </row>
    <row r="26" spans="1:7" x14ac:dyDescent="0.25">
      <c r="A26" s="1"/>
      <c r="B26" s="53"/>
      <c r="C26" s="54"/>
      <c r="D26" s="55"/>
      <c r="E26" s="54"/>
      <c r="F26" s="55"/>
      <c r="G26" s="1"/>
    </row>
    <row r="27" spans="1:7" x14ac:dyDescent="0.25">
      <c r="A27" s="1"/>
      <c r="B27" s="53"/>
      <c r="C27" s="54"/>
      <c r="D27" s="55"/>
      <c r="E27" s="54"/>
      <c r="F27" s="55"/>
      <c r="G27" s="1"/>
    </row>
    <row r="28" spans="1:7" x14ac:dyDescent="0.25">
      <c r="A28" s="1"/>
      <c r="B28" s="46"/>
      <c r="C28" s="46"/>
      <c r="D28" s="46"/>
      <c r="E28" s="46"/>
      <c r="F28" s="46"/>
      <c r="G28" s="1"/>
    </row>
    <row r="29" spans="1:7" x14ac:dyDescent="0.25">
      <c r="A29" s="1"/>
      <c r="B29" s="136"/>
      <c r="C29" s="136"/>
      <c r="D29" s="136"/>
      <c r="E29" s="136"/>
      <c r="F29" s="136"/>
      <c r="G29" s="1"/>
    </row>
    <row r="30" spans="1:7" x14ac:dyDescent="0.25">
      <c r="A30" s="1"/>
      <c r="B30" s="47"/>
      <c r="C30" s="47"/>
      <c r="D30" s="47"/>
      <c r="E30" s="47"/>
      <c r="F30" s="48"/>
      <c r="G30" s="1"/>
    </row>
    <row r="31" spans="1:7" x14ac:dyDescent="0.25">
      <c r="A31" s="1"/>
      <c r="B31" s="49"/>
      <c r="C31" s="50"/>
      <c r="D31" s="51"/>
      <c r="E31" s="52"/>
      <c r="F31" s="51"/>
      <c r="G31" s="1"/>
    </row>
    <row r="32" spans="1:7" x14ac:dyDescent="0.25">
      <c r="A32" s="1"/>
      <c r="B32" s="49"/>
      <c r="C32" s="50"/>
      <c r="D32" s="51"/>
      <c r="E32" s="52"/>
      <c r="F32" s="51"/>
      <c r="G32" s="1"/>
    </row>
    <row r="33" spans="1:7" x14ac:dyDescent="0.25">
      <c r="A33" s="1"/>
      <c r="B33" s="53"/>
      <c r="C33" s="54"/>
      <c r="D33" s="55"/>
      <c r="E33" s="54"/>
      <c r="F33" s="55"/>
      <c r="G33" s="1"/>
    </row>
    <row r="34" spans="1:7" x14ac:dyDescent="0.25">
      <c r="A34" s="1"/>
      <c r="B34" s="53"/>
      <c r="C34" s="54"/>
      <c r="D34" s="55"/>
      <c r="E34" s="54"/>
      <c r="F34" s="55"/>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xmaf+BPyMgPmf1uG0O2rZ4LUoH7VpPkwhkx9CM6bAs46iGyufGY/wGBUVjhdwf9z1x/WWeIN9Z6D5YY0KK1eUw==" saltValue="rE9pFEhJFDG6krqV4FNtOQ==" spinCount="100000" sheet="1" objects="1" scenarios="1"/>
  <mergeCells count="4">
    <mergeCell ref="B29:F29"/>
    <mergeCell ref="B3:F4"/>
    <mergeCell ref="B8:F8"/>
    <mergeCell ref="B16:F1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16" t="s">
        <v>117</v>
      </c>
      <c r="C3" s="116"/>
      <c r="D3" s="116"/>
      <c r="E3" s="1"/>
    </row>
    <row r="4" spans="1:5" ht="15" customHeight="1" x14ac:dyDescent="0.25">
      <c r="A4" s="1"/>
      <c r="B4" s="116"/>
      <c r="C4" s="116"/>
      <c r="D4" s="116"/>
      <c r="E4" s="1"/>
    </row>
    <row r="5" spans="1:5" x14ac:dyDescent="0.25">
      <c r="A5" s="1"/>
      <c r="B5" s="116"/>
      <c r="C5" s="116"/>
      <c r="D5" s="116"/>
      <c r="E5" s="1"/>
    </row>
    <row r="6" spans="1:5" x14ac:dyDescent="0.25">
      <c r="A6" s="1"/>
      <c r="B6" s="1"/>
      <c r="C6" s="1"/>
      <c r="D6" s="1"/>
      <c r="E6" s="1"/>
    </row>
    <row r="7" spans="1:5" x14ac:dyDescent="0.25">
      <c r="A7" s="1"/>
      <c r="B7" s="1"/>
      <c r="C7" s="1"/>
      <c r="D7" s="1"/>
      <c r="E7" s="1"/>
    </row>
    <row r="8" spans="1:5" ht="14.25" customHeight="1" x14ac:dyDescent="0.25">
      <c r="A8" s="1"/>
      <c r="B8" s="117" t="s">
        <v>74</v>
      </c>
      <c r="C8" s="118"/>
      <c r="D8" s="119"/>
      <c r="E8" s="1"/>
    </row>
    <row r="9" spans="1:5" x14ac:dyDescent="0.25">
      <c r="A9" s="1"/>
      <c r="B9" s="69" t="s">
        <v>180</v>
      </c>
      <c r="C9" s="9">
        <v>0</v>
      </c>
      <c r="D9" s="14" t="s">
        <v>3</v>
      </c>
      <c r="E9" s="1"/>
    </row>
    <row r="10" spans="1:5" x14ac:dyDescent="0.25">
      <c r="A10" s="1"/>
      <c r="B10" s="65" t="s">
        <v>10</v>
      </c>
      <c r="C10" s="9">
        <f>-C9*'Fane 5. Individuelt eff. krav'!C9</f>
        <v>0</v>
      </c>
      <c r="D10" s="14" t="s">
        <v>3</v>
      </c>
      <c r="E10" s="1"/>
    </row>
    <row r="11" spans="1:5" x14ac:dyDescent="0.25">
      <c r="A11" s="1"/>
      <c r="B11" s="65" t="s">
        <v>22</v>
      </c>
      <c r="C11" s="9">
        <f>-C9*'Fane 15. Nøgletal'!C21</f>
        <v>0</v>
      </c>
      <c r="D11" s="14" t="s">
        <v>3</v>
      </c>
      <c r="E11" s="1"/>
    </row>
    <row r="12" spans="1:5" x14ac:dyDescent="0.25">
      <c r="A12" s="1"/>
      <c r="B12" s="82" t="s">
        <v>75</v>
      </c>
      <c r="C12" s="12">
        <f>SUM(C9:C11)*(1+'Fane 15. Nøgletal'!C9)^2</f>
        <v>0</v>
      </c>
      <c r="D12" s="13" t="s">
        <v>3</v>
      </c>
      <c r="E12" s="1"/>
    </row>
    <row r="13" spans="1:5" x14ac:dyDescent="0.25">
      <c r="A13" s="1"/>
      <c r="B13" s="1"/>
      <c r="C13" s="1"/>
      <c r="D13" s="1"/>
      <c r="E13" s="1"/>
    </row>
    <row r="14" spans="1:5" ht="15" customHeight="1" x14ac:dyDescent="0.25">
      <c r="A14" s="1"/>
      <c r="B14" s="117" t="s">
        <v>85</v>
      </c>
      <c r="C14" s="118"/>
      <c r="D14" s="119"/>
      <c r="E14" s="1"/>
    </row>
    <row r="15" spans="1:5" x14ac:dyDescent="0.25">
      <c r="A15" s="1"/>
      <c r="B15" s="69" t="s">
        <v>180</v>
      </c>
      <c r="C15" s="9">
        <v>0</v>
      </c>
      <c r="D15" s="14" t="s">
        <v>3</v>
      </c>
      <c r="E15" s="1"/>
    </row>
    <row r="16" spans="1:5" x14ac:dyDescent="0.25">
      <c r="A16" s="1"/>
      <c r="B16" s="65" t="s">
        <v>10</v>
      </c>
      <c r="C16" s="9">
        <f>-C15*'Fane 5. Individuelt eff. krav'!C9</f>
        <v>0</v>
      </c>
      <c r="D16" s="14" t="s">
        <v>3</v>
      </c>
      <c r="E16" s="1"/>
    </row>
    <row r="17" spans="1:5" x14ac:dyDescent="0.25">
      <c r="A17" s="1"/>
      <c r="B17" s="65" t="s">
        <v>22</v>
      </c>
      <c r="C17" s="9">
        <f>-C15*'Fane 15. Nøgletal'!C21</f>
        <v>0</v>
      </c>
      <c r="D17" s="14" t="s">
        <v>3</v>
      </c>
      <c r="E17" s="1"/>
    </row>
    <row r="18" spans="1:5" x14ac:dyDescent="0.25">
      <c r="A18" s="1"/>
      <c r="B18" s="82" t="s">
        <v>86</v>
      </c>
      <c r="C18" s="12">
        <f>SUM(C15:C17)*(1+'Fane 15. Nøgletal'!C10)^3</f>
        <v>0</v>
      </c>
      <c r="D18" s="13" t="s">
        <v>3</v>
      </c>
      <c r="E18" s="1"/>
    </row>
    <row r="19" spans="1:5" x14ac:dyDescent="0.25">
      <c r="A19" s="1"/>
      <c r="B19" s="1"/>
      <c r="C19" s="1"/>
      <c r="D19" s="1"/>
      <c r="E19" s="1"/>
    </row>
    <row r="20" spans="1:5" ht="15" customHeight="1" x14ac:dyDescent="0.25">
      <c r="A20" s="1"/>
      <c r="B20" s="117" t="s">
        <v>141</v>
      </c>
      <c r="C20" s="118"/>
      <c r="D20" s="119"/>
      <c r="E20" s="1"/>
    </row>
    <row r="21" spans="1:5" x14ac:dyDescent="0.25">
      <c r="A21" s="1"/>
      <c r="B21" s="69" t="s">
        <v>180</v>
      </c>
      <c r="C21" s="9">
        <v>0</v>
      </c>
      <c r="D21" s="14" t="s">
        <v>3</v>
      </c>
      <c r="E21" s="1"/>
    </row>
    <row r="22" spans="1:5" x14ac:dyDescent="0.25">
      <c r="A22" s="1"/>
      <c r="B22" s="65" t="s">
        <v>10</v>
      </c>
      <c r="C22" s="9">
        <f>-C21*'Fane 5. Individuelt eff. krav'!C9</f>
        <v>0</v>
      </c>
      <c r="D22" s="14" t="s">
        <v>3</v>
      </c>
      <c r="E22" s="1"/>
    </row>
    <row r="23" spans="1:5" x14ac:dyDescent="0.25">
      <c r="A23" s="1"/>
      <c r="B23" s="65" t="s">
        <v>22</v>
      </c>
      <c r="C23" s="9">
        <f>-C21*'Fane 15. Nøgletal'!C21</f>
        <v>0</v>
      </c>
      <c r="D23" s="14" t="s">
        <v>3</v>
      </c>
      <c r="E23" s="1"/>
    </row>
    <row r="24" spans="1:5" x14ac:dyDescent="0.25">
      <c r="A24" s="1"/>
      <c r="B24" s="82" t="s">
        <v>142</v>
      </c>
      <c r="C24" s="12">
        <f>SUM(C21:C23)*(1+'Fane 15. Nøgletal'!C10)^4</f>
        <v>0</v>
      </c>
      <c r="D24" s="13" t="s">
        <v>3</v>
      </c>
      <c r="E24" s="1"/>
    </row>
    <row r="25" spans="1:5" x14ac:dyDescent="0.25">
      <c r="A25" s="1"/>
      <c r="B25" s="1"/>
      <c r="C25" s="1"/>
      <c r="D25" s="1"/>
      <c r="E25" s="1"/>
    </row>
    <row r="26" spans="1:5" ht="15" customHeight="1" x14ac:dyDescent="0.25">
      <c r="A26" s="1"/>
      <c r="B26" s="117" t="s">
        <v>181</v>
      </c>
      <c r="C26" s="118"/>
      <c r="D26" s="119"/>
      <c r="E26" s="1"/>
    </row>
    <row r="27" spans="1:5" ht="14.25" customHeight="1" x14ac:dyDescent="0.25">
      <c r="A27" s="1"/>
      <c r="B27" s="69" t="s">
        <v>180</v>
      </c>
      <c r="C27" s="9">
        <v>0</v>
      </c>
      <c r="D27" s="14" t="s">
        <v>3</v>
      </c>
      <c r="E27" s="1"/>
    </row>
    <row r="28" spans="1:5" x14ac:dyDescent="0.25">
      <c r="A28" s="1"/>
      <c r="B28" s="65" t="s">
        <v>10</v>
      </c>
      <c r="C28" s="9">
        <f>-C27*'Fane 5. Individuelt eff. krav'!C9</f>
        <v>0</v>
      </c>
      <c r="D28" s="14" t="s">
        <v>3</v>
      </c>
      <c r="E28" s="1"/>
    </row>
    <row r="29" spans="1:5" x14ac:dyDescent="0.25">
      <c r="A29" s="1"/>
      <c r="B29" s="65" t="s">
        <v>22</v>
      </c>
      <c r="C29" s="9">
        <f>-C27*'Fane 15. Nøgletal'!C21</f>
        <v>0</v>
      </c>
      <c r="D29" s="14" t="s">
        <v>3</v>
      </c>
      <c r="E29" s="1"/>
    </row>
    <row r="30" spans="1:5" x14ac:dyDescent="0.25">
      <c r="A30" s="1"/>
      <c r="B30" s="82" t="s">
        <v>182</v>
      </c>
      <c r="C30" s="12">
        <f>SUM(C27:C29)*(1+'Fane 15. Nøgletal'!C10)^5</f>
        <v>0</v>
      </c>
      <c r="D30" s="13" t="s">
        <v>3</v>
      </c>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QdC6a9ERukQow75AZXSFGg/fnowWHuhMbb62RqSP3EWvB2HIIe6nVh1znM25aK08PRIrrqW8wbdquVJUq3+TLw==" saltValue="dSRH2iq+w0n3/zzsutcdWg==" spinCount="100000" sheet="1" objects="1" scenarios="1"/>
  <mergeCells count="5">
    <mergeCell ref="B26:D26"/>
    <mergeCell ref="B20:D20"/>
    <mergeCell ref="B3:D5"/>
    <mergeCell ref="B14:D14"/>
    <mergeCell ref="B8:D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6" t="s">
        <v>118</v>
      </c>
      <c r="C3" s="116"/>
      <c r="D3" s="116"/>
      <c r="E3" s="116"/>
      <c r="F3" s="116"/>
      <c r="G3" s="1"/>
    </row>
    <row r="4" spans="1:7" ht="15" customHeight="1" x14ac:dyDescent="0.25">
      <c r="A4" s="1"/>
      <c r="B4" s="116"/>
      <c r="C4" s="116"/>
      <c r="D4" s="116"/>
      <c r="E4" s="116"/>
      <c r="F4" s="116"/>
      <c r="G4" s="1"/>
    </row>
    <row r="5" spans="1:7" x14ac:dyDescent="0.25">
      <c r="A5" s="1"/>
      <c r="B5" s="116"/>
      <c r="C5" s="116"/>
      <c r="D5" s="116"/>
      <c r="E5" s="116"/>
      <c r="F5" s="116"/>
      <c r="G5" s="1"/>
    </row>
    <row r="6" spans="1:7" x14ac:dyDescent="0.25">
      <c r="A6" s="1"/>
      <c r="B6" s="1"/>
      <c r="C6" s="1"/>
      <c r="D6" s="1"/>
      <c r="E6" s="1"/>
      <c r="F6" s="1"/>
      <c r="G6" s="1"/>
    </row>
    <row r="7" spans="1:7" x14ac:dyDescent="0.25">
      <c r="A7" s="1"/>
      <c r="B7" s="1"/>
      <c r="C7" s="1"/>
      <c r="D7" s="1"/>
      <c r="E7" s="1"/>
      <c r="F7" s="1"/>
      <c r="G7" s="1"/>
    </row>
    <row r="8" spans="1:7" x14ac:dyDescent="0.25">
      <c r="A8" s="1"/>
      <c r="B8" s="117" t="s">
        <v>67</v>
      </c>
      <c r="C8" s="118"/>
      <c r="D8" s="118"/>
      <c r="E8" s="118"/>
      <c r="F8" s="119"/>
      <c r="G8" s="1"/>
    </row>
    <row r="9" spans="1:7" ht="15" customHeight="1" x14ac:dyDescent="0.25">
      <c r="A9" s="1"/>
      <c r="B9" s="31" t="s">
        <v>68</v>
      </c>
      <c r="C9" s="27" t="s">
        <v>11</v>
      </c>
      <c r="D9" s="32"/>
      <c r="E9" s="27" t="s">
        <v>27</v>
      </c>
      <c r="F9" s="32"/>
      <c r="G9" s="1"/>
    </row>
    <row r="10" spans="1:7" ht="26.25" x14ac:dyDescent="0.25">
      <c r="A10" s="1"/>
      <c r="B10" s="71" t="s">
        <v>223</v>
      </c>
      <c r="C10" s="9">
        <v>0</v>
      </c>
      <c r="D10" s="14" t="s">
        <v>3</v>
      </c>
      <c r="E10" s="9">
        <v>0</v>
      </c>
      <c r="F10" s="14" t="s">
        <v>3</v>
      </c>
      <c r="G10" s="1"/>
    </row>
    <row r="11" spans="1:7" ht="28.5" customHeight="1" x14ac:dyDescent="0.25">
      <c r="A11" s="1"/>
      <c r="B11" s="20" t="s">
        <v>143</v>
      </c>
      <c r="C11" s="12">
        <f>SUM(C10:C10)</f>
        <v>0</v>
      </c>
      <c r="D11" s="13" t="s">
        <v>3</v>
      </c>
      <c r="E11" s="12">
        <f>SUM(E10:E10)</f>
        <v>0</v>
      </c>
      <c r="F11" s="13" t="s">
        <v>3</v>
      </c>
      <c r="G11" s="1"/>
    </row>
    <row r="12" spans="1:7" ht="27" customHeight="1" x14ac:dyDescent="0.25">
      <c r="A12" s="1"/>
      <c r="B12" s="20" t="s">
        <v>183</v>
      </c>
      <c r="C12" s="12">
        <f>C11*(1+'Fane 15. Nøgletal'!C10)</f>
        <v>0</v>
      </c>
      <c r="D12" s="13" t="s">
        <v>3</v>
      </c>
      <c r="E12" s="12">
        <f>E11*(1+'Fane 15. Nøgletal'!C10)</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hidden="1" x14ac:dyDescent="0.25"/>
    <row r="47" spans="1:7" hidden="1" x14ac:dyDescent="0.25"/>
  </sheetData>
  <sheetProtection algorithmName="SHA-512" hashValue="ckNcYZu2aD2gF0swCaPdL8rP1kewopzL+2QXrCr00FVyo+pDdiiFO3aAOT4CfbnojN24NJwdhmMdmgl7KS/kWQ==" saltValue="bWRWLv+lDGjHEy0CaasWuA==" spinCount="100000" sheet="1" objects="1" scenarios="1"/>
  <mergeCells count="2">
    <mergeCell ref="B8:F8"/>
    <mergeCell ref="B3: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zoomScaleNormal="100" workbookViewId="0"/>
  </sheetViews>
  <sheetFormatPr defaultColWidth="0" defaultRowHeight="15" zeroHeight="1" x14ac:dyDescent="0.25"/>
  <cols>
    <col min="1" max="1" width="5.140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140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6" t="s">
        <v>119</v>
      </c>
      <c r="C3" s="116"/>
      <c r="D3" s="116"/>
      <c r="E3" s="116"/>
      <c r="F3" s="116"/>
      <c r="G3" s="1"/>
    </row>
    <row r="4" spans="1:7" ht="15" customHeight="1" x14ac:dyDescent="0.25">
      <c r="A4" s="1"/>
      <c r="B4" s="116"/>
      <c r="C4" s="116"/>
      <c r="D4" s="116"/>
      <c r="E4" s="116"/>
      <c r="F4" s="116"/>
      <c r="G4" s="1"/>
    </row>
    <row r="5" spans="1:7" x14ac:dyDescent="0.25">
      <c r="A5" s="1"/>
      <c r="B5" s="116"/>
      <c r="C5" s="116"/>
      <c r="D5" s="116"/>
      <c r="E5" s="116"/>
      <c r="F5" s="116"/>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117" t="s">
        <v>184</v>
      </c>
      <c r="C8" s="118"/>
      <c r="D8" s="118"/>
      <c r="E8" s="118"/>
      <c r="F8" s="119"/>
      <c r="G8" s="1"/>
    </row>
    <row r="9" spans="1:7" x14ac:dyDescent="0.25">
      <c r="A9" s="1"/>
      <c r="B9" s="31" t="s">
        <v>18</v>
      </c>
      <c r="C9" s="137" t="s">
        <v>11</v>
      </c>
      <c r="D9" s="138"/>
      <c r="E9" s="137" t="s">
        <v>27</v>
      </c>
      <c r="F9" s="138"/>
      <c r="G9" s="1"/>
    </row>
    <row r="10" spans="1:7" x14ac:dyDescent="0.25">
      <c r="A10" s="1"/>
      <c r="B10" s="71" t="s">
        <v>224</v>
      </c>
      <c r="C10" s="9">
        <v>0</v>
      </c>
      <c r="D10" s="14" t="s">
        <v>3</v>
      </c>
      <c r="E10" s="9">
        <v>0</v>
      </c>
      <c r="F10" s="14" t="s">
        <v>3</v>
      </c>
      <c r="G10" s="1"/>
    </row>
    <row r="11" spans="1:7" x14ac:dyDescent="0.25">
      <c r="A11" s="1"/>
      <c r="B11" s="33" t="s">
        <v>144</v>
      </c>
      <c r="C11" s="12">
        <f>SUM(C10:C10)</f>
        <v>0</v>
      </c>
      <c r="D11" s="13" t="s">
        <v>3</v>
      </c>
      <c r="E11" s="12">
        <f>SUM(E10:E10)</f>
        <v>0</v>
      </c>
      <c r="F11" s="13" t="s">
        <v>3</v>
      </c>
      <c r="G11" s="1"/>
    </row>
    <row r="12" spans="1:7" x14ac:dyDescent="0.25">
      <c r="A12" s="1"/>
      <c r="B12" s="33" t="s">
        <v>217</v>
      </c>
      <c r="C12" s="12">
        <f>C11*(1+'Fane 15. Nøgletal'!C10)^2</f>
        <v>0</v>
      </c>
      <c r="D12" s="13" t="s">
        <v>3</v>
      </c>
      <c r="E12" s="12">
        <f>E11*(1+'Fane 15. Nøgletal'!C10)^2</f>
        <v>0</v>
      </c>
      <c r="F12" s="13" t="s">
        <v>3</v>
      </c>
      <c r="G12" s="1"/>
    </row>
    <row r="13" spans="1:7" x14ac:dyDescent="0.25">
      <c r="A13" s="1"/>
      <c r="B13" s="1"/>
      <c r="C13" s="1"/>
      <c r="D13" s="1"/>
      <c r="E13" s="1"/>
      <c r="F13" s="1"/>
      <c r="G13" s="1"/>
    </row>
    <row r="14" spans="1:7" x14ac:dyDescent="0.25">
      <c r="A14" s="1"/>
      <c r="B14" s="136"/>
      <c r="C14" s="136"/>
      <c r="D14" s="136"/>
      <c r="E14" s="136"/>
      <c r="F14" s="136"/>
      <c r="G14" s="1"/>
    </row>
    <row r="15" spans="1:7" x14ac:dyDescent="0.25">
      <c r="A15" s="1"/>
      <c r="B15" s="48"/>
      <c r="C15" s="48"/>
      <c r="D15" s="48"/>
      <c r="E15" s="48"/>
      <c r="F15" s="48"/>
      <c r="G15" s="1"/>
    </row>
    <row r="16" spans="1:7" x14ac:dyDescent="0.25">
      <c r="A16" s="1"/>
      <c r="B16" s="49"/>
      <c r="C16" s="52"/>
      <c r="D16" s="51"/>
      <c r="E16" s="52"/>
      <c r="F16" s="51"/>
      <c r="G16" s="1"/>
    </row>
    <row r="17" spans="1:7" x14ac:dyDescent="0.25">
      <c r="A17" s="1"/>
      <c r="B17" s="49"/>
      <c r="C17" s="52"/>
      <c r="D17" s="51"/>
      <c r="E17" s="52"/>
      <c r="F17" s="51"/>
      <c r="G17" s="1"/>
    </row>
    <row r="18" spans="1:7" x14ac:dyDescent="0.25">
      <c r="A18" s="1"/>
      <c r="B18" s="53"/>
      <c r="C18" s="54"/>
      <c r="D18" s="55"/>
      <c r="E18" s="54"/>
      <c r="F18" s="55"/>
      <c r="G18" s="1"/>
    </row>
    <row r="19" spans="1:7" x14ac:dyDescent="0.25">
      <c r="A19" s="1"/>
      <c r="B19" s="53"/>
      <c r="C19" s="54"/>
      <c r="D19" s="55"/>
      <c r="E19" s="54"/>
      <c r="F19" s="55"/>
      <c r="G19" s="1"/>
    </row>
    <row r="20" spans="1:7" x14ac:dyDescent="0.25">
      <c r="A20" s="1"/>
      <c r="B20" s="46"/>
      <c r="C20" s="46"/>
      <c r="D20" s="46"/>
      <c r="E20" s="46"/>
      <c r="F20" s="46"/>
      <c r="G20" s="1"/>
    </row>
    <row r="21" spans="1:7" x14ac:dyDescent="0.25">
      <c r="A21" s="1"/>
      <c r="B21" s="136"/>
      <c r="C21" s="136"/>
      <c r="D21" s="136"/>
      <c r="E21" s="136"/>
      <c r="F21" s="136"/>
      <c r="G21" s="1"/>
    </row>
    <row r="22" spans="1:7" x14ac:dyDescent="0.25">
      <c r="A22" s="1"/>
      <c r="B22" s="48"/>
      <c r="C22" s="48"/>
      <c r="D22" s="48"/>
      <c r="E22" s="48"/>
      <c r="F22" s="48"/>
      <c r="G22" s="1"/>
    </row>
    <row r="23" spans="1:7" x14ac:dyDescent="0.25">
      <c r="A23" s="1"/>
      <c r="B23" s="49"/>
      <c r="C23" s="52"/>
      <c r="D23" s="51"/>
      <c r="E23" s="52"/>
      <c r="F23" s="51"/>
      <c r="G23" s="1"/>
    </row>
    <row r="24" spans="1:7" x14ac:dyDescent="0.25">
      <c r="A24" s="1"/>
      <c r="B24" s="53"/>
      <c r="C24" s="54"/>
      <c r="D24" s="55"/>
      <c r="E24" s="54"/>
      <c r="F24" s="55"/>
      <c r="G24" s="1"/>
    </row>
    <row r="25" spans="1:7" x14ac:dyDescent="0.25">
      <c r="A25" s="1"/>
      <c r="B25" s="53"/>
      <c r="C25" s="54"/>
      <c r="D25" s="55"/>
      <c r="E25" s="54"/>
      <c r="F25" s="55"/>
      <c r="G25" s="1"/>
    </row>
    <row r="26" spans="1:7" x14ac:dyDescent="0.25">
      <c r="A26" s="1"/>
      <c r="B26" s="46"/>
      <c r="C26" s="46"/>
      <c r="D26" s="46"/>
      <c r="E26" s="46"/>
      <c r="F26" s="46"/>
      <c r="G26" s="1"/>
    </row>
    <row r="27" spans="1:7" x14ac:dyDescent="0.25">
      <c r="A27" s="1"/>
      <c r="B27" s="136"/>
      <c r="C27" s="136"/>
      <c r="D27" s="136"/>
      <c r="E27" s="136"/>
      <c r="F27" s="136"/>
      <c r="G27" s="1"/>
    </row>
    <row r="28" spans="1:7" x14ac:dyDescent="0.25">
      <c r="A28" s="1"/>
      <c r="B28" s="48"/>
      <c r="C28" s="48"/>
      <c r="D28" s="48"/>
      <c r="E28" s="48"/>
      <c r="F28" s="48"/>
      <c r="G28" s="1"/>
    </row>
    <row r="29" spans="1:7" x14ac:dyDescent="0.25">
      <c r="A29" s="1"/>
      <c r="B29" s="49"/>
      <c r="C29" s="52"/>
      <c r="D29" s="51"/>
      <c r="E29" s="52"/>
      <c r="F29" s="51"/>
      <c r="G29" s="1"/>
    </row>
    <row r="30" spans="1:7" x14ac:dyDescent="0.25">
      <c r="A30" s="1"/>
      <c r="B30" s="53"/>
      <c r="C30" s="54"/>
      <c r="D30" s="55"/>
      <c r="E30" s="54"/>
      <c r="F30" s="55"/>
      <c r="G30" s="1"/>
    </row>
    <row r="31" spans="1:7" x14ac:dyDescent="0.25">
      <c r="A31" s="1"/>
      <c r="B31" s="53"/>
      <c r="C31" s="54"/>
      <c r="D31" s="55"/>
      <c r="E31" s="54"/>
      <c r="F31" s="55"/>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N2jICZFqD8GGjW5jMsH0hOECoDdEDOICprTfCVxAANxKaj/XZG6nZakj/sA3uQvWtlBU6qh5g2tW2wfNSEs2gQ==" saltValue="WSw7WZcb503UWxWttEE9wA==" spinCount="100000" sheet="1" objects="1" scenarios="1"/>
  <mergeCells count="7">
    <mergeCell ref="B3:F5"/>
    <mergeCell ref="B27:F27"/>
    <mergeCell ref="B8:F8"/>
    <mergeCell ref="B14:F14"/>
    <mergeCell ref="B21:F21"/>
    <mergeCell ref="E9:F9"/>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7"/>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10" t="s">
        <v>156</v>
      </c>
      <c r="C3" s="110"/>
      <c r="D3" s="110"/>
      <c r="E3" s="1"/>
    </row>
    <row r="4" spans="1:5" ht="15" customHeight="1" x14ac:dyDescent="0.25">
      <c r="A4" s="1"/>
      <c r="B4" s="110"/>
      <c r="C4" s="110"/>
      <c r="D4" s="110"/>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91</v>
      </c>
      <c r="C9" s="7">
        <f>'Fane 3. Omkostninger i ØR2024'!C20</f>
        <v>296275942.91490763</v>
      </c>
      <c r="D9" s="8" t="s">
        <v>3</v>
      </c>
      <c r="E9" s="1"/>
    </row>
    <row r="10" spans="1:5" ht="17.25" customHeight="1" x14ac:dyDescent="0.25">
      <c r="A10" s="1"/>
      <c r="B10" s="65" t="s">
        <v>35</v>
      </c>
      <c r="C10" s="7">
        <f>'Fane 11.1. Varige tillæg'!C20</f>
        <v>1488203.9872999999</v>
      </c>
      <c r="D10" s="8" t="s">
        <v>3</v>
      </c>
      <c r="E10" s="1"/>
    </row>
    <row r="11" spans="1:5" ht="17.25" customHeight="1" x14ac:dyDescent="0.25">
      <c r="A11" s="1"/>
      <c r="B11" s="65" t="s">
        <v>36</v>
      </c>
      <c r="C11" s="9">
        <f>'Fane 11.1. Varige tillæg'!E20</f>
        <v>4342018.5232189996</v>
      </c>
      <c r="D11" s="8" t="s">
        <v>3</v>
      </c>
      <c r="E11" s="1"/>
    </row>
    <row r="12" spans="1:5" ht="17.25" customHeight="1" x14ac:dyDescent="0.25">
      <c r="A12" s="1"/>
      <c r="B12" s="65" t="s">
        <v>25</v>
      </c>
      <c r="C12" s="9">
        <f>-'Fane 14. Bortfald'!C12</f>
        <v>0</v>
      </c>
      <c r="D12" s="8" t="s">
        <v>3</v>
      </c>
      <c r="E12" s="1"/>
    </row>
    <row r="13" spans="1:5" ht="17.25" customHeight="1" x14ac:dyDescent="0.25">
      <c r="A13" s="1"/>
      <c r="B13" s="65" t="s">
        <v>24</v>
      </c>
      <c r="C13" s="9">
        <f>-'Fane 14. Bortfald'!E12</f>
        <v>0</v>
      </c>
      <c r="D13" s="8" t="s">
        <v>3</v>
      </c>
      <c r="E13" s="1"/>
    </row>
    <row r="14" spans="1:5" ht="17.25" customHeight="1" x14ac:dyDescent="0.25">
      <c r="A14" s="1"/>
      <c r="B14" s="65" t="s">
        <v>63</v>
      </c>
      <c r="C14" s="9">
        <f>'Fane 13. Tilknyttet virksomhed'!C12</f>
        <v>0</v>
      </c>
      <c r="D14" s="8" t="s">
        <v>3</v>
      </c>
      <c r="E14" s="1"/>
    </row>
    <row r="15" spans="1:5" ht="17.25" customHeight="1" x14ac:dyDescent="0.25">
      <c r="A15" s="1"/>
      <c r="B15" s="65" t="s">
        <v>64</v>
      </c>
      <c r="C15" s="9">
        <f>'Fane 13. Tilknyttet virksomhed'!E12</f>
        <v>0</v>
      </c>
      <c r="D15" s="8" t="s">
        <v>3</v>
      </c>
      <c r="E15" s="1"/>
    </row>
    <row r="16" spans="1:5" ht="17.25" customHeight="1" x14ac:dyDescent="0.25">
      <c r="A16" s="1"/>
      <c r="B16" s="65" t="s">
        <v>19</v>
      </c>
      <c r="C16" s="38">
        <f>SUM(C9)*'Fane 15. Nøgletal'!C9+SUM(C10:C11,C14:C15)*'Fane 15. Nøgletal'!C10</f>
        <v>24325639.939971946</v>
      </c>
      <c r="D16" s="8" t="s">
        <v>3</v>
      </c>
      <c r="E16" s="1"/>
    </row>
    <row r="17" spans="1:5" ht="17.25" customHeight="1" x14ac:dyDescent="0.25">
      <c r="A17" s="1"/>
      <c r="B17" s="65" t="s">
        <v>10</v>
      </c>
      <c r="C17" s="38">
        <f>-SUM(C9,C10:C16)*'Fane 5. Individuelt eff. krav'!C9</f>
        <v>0</v>
      </c>
      <c r="D17" s="8" t="s">
        <v>3</v>
      </c>
      <c r="E17" s="1"/>
    </row>
    <row r="18" spans="1:5" ht="17.25" customHeight="1" x14ac:dyDescent="0.25">
      <c r="A18" s="1"/>
      <c r="B18" s="65" t="s">
        <v>22</v>
      </c>
      <c r="C18" s="38">
        <f>-'Fane 4.1. Gen. krav - drift'!C17</f>
        <v>-2244996.255506299</v>
      </c>
      <c r="D18" s="8" t="s">
        <v>3</v>
      </c>
      <c r="E18" s="1"/>
    </row>
    <row r="19" spans="1:5" ht="17.25" customHeight="1" x14ac:dyDescent="0.25">
      <c r="A19" s="1"/>
      <c r="B19" s="65" t="s">
        <v>23</v>
      </c>
      <c r="C19" s="38">
        <f>-'Fane 4.2. Gen. krav - anlæg'!C17</f>
        <v>0</v>
      </c>
      <c r="D19" s="8" t="s">
        <v>3</v>
      </c>
      <c r="E19" s="43"/>
    </row>
    <row r="20" spans="1:5" ht="17.25" customHeight="1" x14ac:dyDescent="0.25">
      <c r="A20" s="1"/>
      <c r="B20" s="88" t="s">
        <v>21</v>
      </c>
      <c r="C20" s="10">
        <f>SUM(C9:C19)</f>
        <v>324186809.10989225</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22335700.185014755</v>
      </c>
      <c r="D22" s="11" t="s">
        <v>3</v>
      </c>
      <c r="E22" s="1"/>
    </row>
    <row r="23" spans="1:5" ht="15" customHeight="1" x14ac:dyDescent="0.25">
      <c r="A23" s="1"/>
      <c r="B23" s="33" t="s">
        <v>43</v>
      </c>
      <c r="C23" s="28"/>
      <c r="D23" s="19"/>
      <c r="E23" s="1"/>
    </row>
    <row r="24" spans="1:5" ht="15" customHeight="1" x14ac:dyDescent="0.25">
      <c r="A24" s="1"/>
      <c r="B24" s="88" t="s">
        <v>43</v>
      </c>
      <c r="C24" s="10">
        <f>'Fane 12. Periodevise driftsomk.'!C12</f>
        <v>0</v>
      </c>
      <c r="D24" s="11" t="s">
        <v>3</v>
      </c>
      <c r="E24" s="1"/>
    </row>
    <row r="25" spans="1:5" ht="15" customHeight="1" x14ac:dyDescent="0.25">
      <c r="A25" s="1"/>
      <c r="B25" s="41" t="s">
        <v>42</v>
      </c>
      <c r="C25" s="39"/>
      <c r="D25" s="40"/>
      <c r="E25" s="1"/>
    </row>
    <row r="26" spans="1:5" ht="15" customHeight="1" x14ac:dyDescent="0.25">
      <c r="A26" s="1"/>
      <c r="B26" s="65" t="s">
        <v>90</v>
      </c>
      <c r="C26" s="38">
        <f>'Fane 11.2. Engangstillæg'!C14</f>
        <v>0</v>
      </c>
      <c r="D26" s="8" t="s">
        <v>3</v>
      </c>
      <c r="E26" s="1"/>
    </row>
    <row r="27" spans="1:5" ht="15" customHeight="1" x14ac:dyDescent="0.25">
      <c r="A27" s="1"/>
      <c r="B27" s="65" t="s">
        <v>39</v>
      </c>
      <c r="C27" s="38">
        <f>'Fane 11.2. Engangstillæg'!E14</f>
        <v>0</v>
      </c>
      <c r="D27" s="8" t="s">
        <v>3</v>
      </c>
      <c r="E27" s="1"/>
    </row>
    <row r="28" spans="1:5" ht="15" customHeight="1" x14ac:dyDescent="0.25">
      <c r="A28" s="1"/>
      <c r="B28" s="65" t="s">
        <v>93</v>
      </c>
      <c r="C28" s="38">
        <f>-C26*('Fane 15. Nøgletal'!C21+'Fane 5. Individuelt eff. krav'!C9)</f>
        <v>0</v>
      </c>
      <c r="D28" s="8" t="s">
        <v>3</v>
      </c>
      <c r="E28" s="1"/>
    </row>
    <row r="29" spans="1:5" ht="15" customHeight="1" x14ac:dyDescent="0.25">
      <c r="A29" s="1"/>
      <c r="B29" s="65" t="s">
        <v>94</v>
      </c>
      <c r="C29" s="38">
        <f>-C27*('Fane 15. Nøgletal'!C16+'Fane 5. Individuelt eff. krav'!C9)</f>
        <v>0</v>
      </c>
      <c r="D29" s="8" t="s">
        <v>3</v>
      </c>
      <c r="E29" s="1"/>
    </row>
    <row r="30" spans="1:5" ht="15" customHeight="1" x14ac:dyDescent="0.25">
      <c r="A30" s="1"/>
      <c r="B30" s="68" t="s">
        <v>44</v>
      </c>
      <c r="C30" s="10">
        <f>SUM(C26:C29)</f>
        <v>0</v>
      </c>
      <c r="D30" s="11" t="s">
        <v>3</v>
      </c>
      <c r="E30" s="1"/>
    </row>
    <row r="31" spans="1:5" x14ac:dyDescent="0.25">
      <c r="A31" s="1"/>
      <c r="B31" s="33" t="s">
        <v>70</v>
      </c>
      <c r="C31" s="28"/>
      <c r="D31" s="19"/>
      <c r="E31" s="1"/>
    </row>
    <row r="32" spans="1:5" x14ac:dyDescent="0.25">
      <c r="A32" s="1"/>
      <c r="B32" s="31" t="s">
        <v>80</v>
      </c>
      <c r="C32" s="62">
        <f>'Fane 7. Kontrol af ØR2023'!C27</f>
        <v>-5516332.9059672952</v>
      </c>
      <c r="D32" s="11" t="s">
        <v>3</v>
      </c>
      <c r="E32" s="1"/>
    </row>
    <row r="33" spans="1:5" ht="15" customHeight="1" x14ac:dyDescent="0.25">
      <c r="A33" s="1"/>
      <c r="B33" s="33" t="s">
        <v>155</v>
      </c>
      <c r="C33" s="28"/>
      <c r="D33" s="19"/>
      <c r="E33" s="1"/>
    </row>
    <row r="34" spans="1:5" x14ac:dyDescent="0.25">
      <c r="A34" s="1"/>
      <c r="B34" s="31" t="s">
        <v>155</v>
      </c>
      <c r="C34" s="10">
        <f>'Fane 9. Korrektion af ØR2023'!C16</f>
        <v>0</v>
      </c>
      <c r="D34" s="11" t="s">
        <v>3</v>
      </c>
      <c r="E34" s="1"/>
    </row>
    <row r="35" spans="1:5" x14ac:dyDescent="0.25">
      <c r="A35" s="1"/>
      <c r="B35" s="30" t="s">
        <v>76</v>
      </c>
      <c r="C35" s="28"/>
      <c r="D35" s="19"/>
      <c r="E35" s="1"/>
    </row>
    <row r="36" spans="1:5" x14ac:dyDescent="0.25">
      <c r="A36" s="1"/>
      <c r="B36" s="68" t="s">
        <v>77</v>
      </c>
      <c r="C36" s="10">
        <f>'Fane 8. Skattesagen'!C14</f>
        <v>0</v>
      </c>
      <c r="D36" s="11" t="s">
        <v>3</v>
      </c>
      <c r="E36" s="1"/>
    </row>
    <row r="37" spans="1:5" x14ac:dyDescent="0.25">
      <c r="A37" s="1"/>
      <c r="B37" s="33" t="s">
        <v>72</v>
      </c>
      <c r="C37" s="45">
        <f>SUM(C34,C32,C24,C30,C22,C20,C36)</f>
        <v>341006176.38893974</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AYjV7omY6fBAVkawKmhU3zpmzNu/VvIufviJwggMi7RTyQbcewmVRVIvRWQyseGTqNgWhpDq3GDPqyj+gOLZ6w==" saltValue="iUSvTMkaHUylHs0/eh2J5g=="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49"/>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16" t="s">
        <v>120</v>
      </c>
      <c r="C3" s="116"/>
      <c r="D3" s="1"/>
    </row>
    <row r="4" spans="1:4" ht="15" customHeight="1" x14ac:dyDescent="0.25">
      <c r="A4" s="1"/>
      <c r="B4" s="116"/>
      <c r="C4" s="116"/>
      <c r="D4" s="1"/>
    </row>
    <row r="5" spans="1:4" ht="15" customHeight="1"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59" t="s">
        <v>123</v>
      </c>
      <c r="C9" s="61">
        <v>8.0799999999999997E-2</v>
      </c>
      <c r="D9" s="1"/>
    </row>
    <row r="10" spans="1:4" x14ac:dyDescent="0.25">
      <c r="A10" s="1"/>
      <c r="B10" s="59" t="s">
        <v>229</v>
      </c>
      <c r="C10" s="61">
        <v>6.6299999999999998E-2</v>
      </c>
      <c r="D10" s="1"/>
    </row>
    <row r="11" spans="1:4" x14ac:dyDescent="0.25">
      <c r="A11" s="1"/>
      <c r="B11" s="33"/>
      <c r="C11" s="19"/>
      <c r="D11" s="1"/>
    </row>
    <row r="12" spans="1:4" x14ac:dyDescent="0.25">
      <c r="A12" s="1"/>
      <c r="B12" s="1"/>
      <c r="C12" s="1"/>
      <c r="D12" s="1"/>
    </row>
    <row r="13" spans="1:4" x14ac:dyDescent="0.25">
      <c r="A13" s="1"/>
      <c r="B13" s="1"/>
      <c r="C13" s="1"/>
      <c r="D13" s="1"/>
    </row>
    <row r="14" spans="1:4" x14ac:dyDescent="0.25">
      <c r="A14" s="1"/>
      <c r="B14" s="33" t="s">
        <v>51</v>
      </c>
      <c r="C14" s="19"/>
      <c r="D14" s="1"/>
    </row>
    <row r="15" spans="1:4" x14ac:dyDescent="0.25">
      <c r="A15" s="1"/>
      <c r="B15" s="59" t="s">
        <v>216</v>
      </c>
      <c r="C15" s="60">
        <v>0</v>
      </c>
      <c r="D15" s="1"/>
    </row>
    <row r="16" spans="1:4" x14ac:dyDescent="0.25">
      <c r="A16" s="1"/>
      <c r="B16" s="59" t="s">
        <v>230</v>
      </c>
      <c r="C16" s="22">
        <v>0</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52</v>
      </c>
      <c r="C20" s="19"/>
      <c r="D20" s="1"/>
    </row>
    <row r="21" spans="1:4" x14ac:dyDescent="0.25">
      <c r="A21" s="1"/>
      <c r="B21" s="37" t="s">
        <v>60</v>
      </c>
      <c r="C21" s="25">
        <v>0.02</v>
      </c>
      <c r="D21" s="1"/>
    </row>
    <row r="22" spans="1:4" x14ac:dyDescent="0.25">
      <c r="A22" s="1"/>
      <c r="B22" s="33"/>
      <c r="C22" s="19"/>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hidden="1" x14ac:dyDescent="0.25"/>
  </sheetData>
  <sheetProtection algorithmName="SHA-512" hashValue="YPRm2k4b4BuEKAgNONiIZwzh75db2MzoaZU/dUe9H2U78edWGG+L/k5wrQ1K90pPkIF/Jz020GobnNdfu4bxaw==" saltValue="PtdJHAYbvicXt9ZnqnK4aw=="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10" t="s">
        <v>157</v>
      </c>
      <c r="C3" s="110"/>
      <c r="D3" s="110"/>
      <c r="E3" s="1"/>
    </row>
    <row r="4" spans="1:5" ht="15" customHeight="1" x14ac:dyDescent="0.25">
      <c r="A4" s="1"/>
      <c r="B4" s="110"/>
      <c r="C4" s="110"/>
      <c r="D4" s="110"/>
      <c r="E4" s="1"/>
    </row>
    <row r="5" spans="1:5" x14ac:dyDescent="0.25">
      <c r="A5" s="1"/>
      <c r="B5" s="111" t="s">
        <v>145</v>
      </c>
      <c r="C5" s="111"/>
      <c r="D5" s="11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81</v>
      </c>
      <c r="C9" s="7">
        <f>'Fane 2.1. Økonomisk ramme 2025'!C20</f>
        <v>324186809.10989225</v>
      </c>
      <c r="D9" s="8" t="s">
        <v>3</v>
      </c>
      <c r="E9" s="1"/>
    </row>
    <row r="10" spans="1:5" ht="15" customHeight="1" x14ac:dyDescent="0.25">
      <c r="A10" s="1"/>
      <c r="B10" s="26" t="s">
        <v>19</v>
      </c>
      <c r="C10" s="7">
        <f>C9*'Fane 15. Nøgletal'!C10</f>
        <v>21493585.443985857</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drift'!C22</f>
        <v>-2345962.7171014389</v>
      </c>
      <c r="D12" s="8" t="s">
        <v>3</v>
      </c>
      <c r="E12" s="1"/>
    </row>
    <row r="13" spans="1:5" ht="15" customHeight="1" x14ac:dyDescent="0.25">
      <c r="A13" s="1"/>
      <c r="B13" s="26" t="s">
        <v>23</v>
      </c>
      <c r="C13" s="9">
        <f>-'Fane 4.2. Gen. krav - anlæg'!C22</f>
        <v>0</v>
      </c>
      <c r="D13" s="8" t="s">
        <v>3</v>
      </c>
      <c r="E13" s="1"/>
    </row>
    <row r="14" spans="1:5" ht="15" customHeight="1" x14ac:dyDescent="0.25">
      <c r="A14" s="1"/>
      <c r="B14" s="27" t="s">
        <v>21</v>
      </c>
      <c r="C14" s="10">
        <f>SUM(C9:C13)</f>
        <v>343334431.83677667</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Nøgletal'!C10)+'Fane 6. Ikke-påvirkelige omk.'!C26+'Fane 6. Ikke-påvirkelige omk.'!C34</f>
        <v>23207874.315981235</v>
      </c>
      <c r="D16" s="11" t="s">
        <v>3</v>
      </c>
      <c r="E16" s="1"/>
    </row>
    <row r="17" spans="1:5" ht="15" customHeight="1" x14ac:dyDescent="0.25">
      <c r="A17" s="1"/>
      <c r="B17" s="33" t="s">
        <v>43</v>
      </c>
      <c r="C17" s="28"/>
      <c r="D17" s="19"/>
      <c r="E17" s="1"/>
    </row>
    <row r="18" spans="1:5" ht="15" customHeight="1" x14ac:dyDescent="0.25">
      <c r="A18" s="1"/>
      <c r="B18" s="88" t="s">
        <v>43</v>
      </c>
      <c r="C18" s="10">
        <f>'Fane 12. Periodevise driftsomk.'!C18</f>
        <v>0</v>
      </c>
      <c r="D18" s="11" t="s">
        <v>3</v>
      </c>
      <c r="E18" s="1"/>
    </row>
    <row r="19" spans="1:5" x14ac:dyDescent="0.25">
      <c r="A19" s="1"/>
      <c r="B19" s="33" t="s">
        <v>70</v>
      </c>
      <c r="C19" s="28"/>
      <c r="D19" s="19"/>
      <c r="E19" s="1"/>
    </row>
    <row r="20" spans="1:5" ht="15" customHeight="1" x14ac:dyDescent="0.25">
      <c r="A20" s="1"/>
      <c r="B20" s="31" t="s">
        <v>80</v>
      </c>
      <c r="C20" s="10">
        <f>'Fane 7. Kontrol af ØR2023'!C33</f>
        <v>0</v>
      </c>
      <c r="D20" s="11" t="s">
        <v>3</v>
      </c>
      <c r="E20" s="1"/>
    </row>
    <row r="21" spans="1:5" x14ac:dyDescent="0.25">
      <c r="A21" s="1"/>
      <c r="B21" s="30" t="s">
        <v>76</v>
      </c>
      <c r="C21" s="28"/>
      <c r="D21" s="19"/>
      <c r="E21" s="1"/>
    </row>
    <row r="22" spans="1:5" x14ac:dyDescent="0.25">
      <c r="A22" s="1"/>
      <c r="B22" s="68" t="s">
        <v>77</v>
      </c>
      <c r="C22" s="10">
        <f>'Fane 8. Skattesagen'!C15</f>
        <v>0</v>
      </c>
      <c r="D22" s="11" t="s">
        <v>3</v>
      </c>
      <c r="E22" s="1"/>
    </row>
    <row r="23" spans="1:5" x14ac:dyDescent="0.25">
      <c r="A23" s="1"/>
      <c r="B23" s="33" t="s">
        <v>82</v>
      </c>
      <c r="C23" s="12">
        <f>SUM(C14,C16,C18,C20,C22)</f>
        <v>366542306.15275788</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7cZnqQtg8SK64U5IGw7XCjMTgexBTC9uZqw6JG/Y15aa1g9Ed/3lwYmoAGKdX3SWpIbBSe7rEC18L1QyhvcvMw==" saltValue="5aIUTOVP5rTXs1+xP6zfnw=="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10" t="s">
        <v>158</v>
      </c>
      <c r="C3" s="110"/>
      <c r="D3" s="110"/>
      <c r="E3" s="1"/>
    </row>
    <row r="4" spans="1:5" ht="15" customHeight="1" x14ac:dyDescent="0.25">
      <c r="A4" s="1"/>
      <c r="B4" s="110"/>
      <c r="C4" s="110"/>
      <c r="D4" s="110"/>
      <c r="E4" s="1"/>
    </row>
    <row r="5" spans="1:5" x14ac:dyDescent="0.25">
      <c r="A5" s="1"/>
      <c r="B5" s="111" t="s">
        <v>145</v>
      </c>
      <c r="C5" s="111"/>
      <c r="D5" s="111"/>
      <c r="E5" s="1"/>
    </row>
    <row r="6" spans="1:5" x14ac:dyDescent="0.25">
      <c r="A6" s="1"/>
      <c r="B6" s="80"/>
      <c r="C6" s="80"/>
      <c r="D6" s="80"/>
      <c r="E6" s="1"/>
    </row>
    <row r="7" spans="1:5" x14ac:dyDescent="0.25">
      <c r="A7" s="1"/>
      <c r="B7" s="1"/>
      <c r="C7" s="1"/>
      <c r="D7" s="1"/>
      <c r="E7" s="1"/>
    </row>
    <row r="8" spans="1:5" x14ac:dyDescent="0.25">
      <c r="A8" s="1"/>
      <c r="B8" s="33" t="s">
        <v>13</v>
      </c>
      <c r="C8" s="28"/>
      <c r="D8" s="19"/>
      <c r="E8" s="1"/>
    </row>
    <row r="9" spans="1:5" ht="15" customHeight="1" x14ac:dyDescent="0.25">
      <c r="A9" s="1"/>
      <c r="B9" s="29" t="s">
        <v>130</v>
      </c>
      <c r="C9" s="7">
        <f>'Fane 2.2. Økonomisk ramme 2026'!C14</f>
        <v>343334431.83677667</v>
      </c>
      <c r="D9" s="8" t="s">
        <v>3</v>
      </c>
      <c r="E9" s="1"/>
    </row>
    <row r="10" spans="1:5" ht="15" customHeight="1" x14ac:dyDescent="0.25">
      <c r="A10" s="1"/>
      <c r="B10" s="26" t="s">
        <v>19</v>
      </c>
      <c r="C10" s="7">
        <f>SUM(C9:C9)*'Fane 15. Nøgletal'!C10</f>
        <v>22763072.830778293</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drift'!C27</f>
        <v>-2451470.044340359</v>
      </c>
      <c r="D12" s="8" t="s">
        <v>3</v>
      </c>
      <c r="E12" s="1"/>
    </row>
    <row r="13" spans="1:5" ht="15" customHeight="1" x14ac:dyDescent="0.25">
      <c r="A13" s="1"/>
      <c r="B13" s="26" t="s">
        <v>23</v>
      </c>
      <c r="C13" s="9">
        <f>-'Fane 4.2. Gen. krav - anlæg'!C27</f>
        <v>0</v>
      </c>
      <c r="D13" s="8" t="s">
        <v>3</v>
      </c>
      <c r="E13" s="1"/>
    </row>
    <row r="14" spans="1:5" x14ac:dyDescent="0.25">
      <c r="A14" s="1"/>
      <c r="B14" s="27" t="s">
        <v>21</v>
      </c>
      <c r="C14" s="10">
        <f>SUM(C9:C13)</f>
        <v>363646034.6232146</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Nøgletal'!C10)^2+'Fane 6. Ikke-påvirkelige omk.'!C27+'Fane 6. Ikke-påvirkelige omk.'!C35</f>
        <v>14957120.525530791</v>
      </c>
      <c r="D16" s="11" t="s">
        <v>3</v>
      </c>
      <c r="E16" s="1"/>
    </row>
    <row r="17" spans="1:5" ht="15" customHeight="1" x14ac:dyDescent="0.25">
      <c r="A17" s="1"/>
      <c r="B17" s="33" t="s">
        <v>43</v>
      </c>
      <c r="C17" s="28"/>
      <c r="D17" s="19"/>
      <c r="E17" s="1"/>
    </row>
    <row r="18" spans="1:5" ht="15" customHeight="1" x14ac:dyDescent="0.25">
      <c r="A18" s="1"/>
      <c r="B18" s="88" t="s">
        <v>43</v>
      </c>
      <c r="C18" s="10">
        <f>'Fane 12. Periodevise driftsomk.'!C24</f>
        <v>0</v>
      </c>
      <c r="D18" s="11" t="s">
        <v>3</v>
      </c>
      <c r="E18" s="1"/>
    </row>
    <row r="19" spans="1:5" ht="15" customHeight="1" x14ac:dyDescent="0.25">
      <c r="A19" s="1"/>
      <c r="B19" s="33" t="s">
        <v>70</v>
      </c>
      <c r="C19" s="28"/>
      <c r="D19" s="19"/>
      <c r="E19" s="1"/>
    </row>
    <row r="20" spans="1:5" ht="15" customHeight="1" x14ac:dyDescent="0.25">
      <c r="A20" s="1"/>
      <c r="B20" s="31" t="s">
        <v>80</v>
      </c>
      <c r="C20" s="10">
        <f>'Fane 7. Kontrol af ØR2023'!C33</f>
        <v>0</v>
      </c>
      <c r="D20" s="11" t="s">
        <v>3</v>
      </c>
      <c r="E20" s="1"/>
    </row>
    <row r="21" spans="1:5" x14ac:dyDescent="0.25">
      <c r="A21" s="1"/>
      <c r="B21" s="30" t="s">
        <v>76</v>
      </c>
      <c r="C21" s="28"/>
      <c r="D21" s="19"/>
      <c r="E21" s="1"/>
    </row>
    <row r="22" spans="1:5" x14ac:dyDescent="0.25">
      <c r="A22" s="1"/>
      <c r="B22" s="68" t="s">
        <v>77</v>
      </c>
      <c r="C22" s="10">
        <f>'Fane 8. Skattesagen'!C16</f>
        <v>0</v>
      </c>
      <c r="D22" s="11" t="s">
        <v>3</v>
      </c>
      <c r="E22" s="1"/>
    </row>
    <row r="23" spans="1:5" x14ac:dyDescent="0.25">
      <c r="A23" s="1"/>
      <c r="B23" s="33" t="s">
        <v>131</v>
      </c>
      <c r="C23" s="12">
        <f>SUM(C14,C16,C18,C20,C22)</f>
        <v>378603155.14874542</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1i3KUCYcsczRvaXINID293qVs5NkKObkdh8PUUZKzrcNUmcVtqrhIBcvEanY+6FLDXwsgJ36jsGMJjYcERLy5A==" saltValue="4SmlcJK0ngS2Or+3erp0pA=="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10" t="s">
        <v>159</v>
      </c>
      <c r="C3" s="110"/>
      <c r="D3" s="110"/>
      <c r="E3" s="1"/>
    </row>
    <row r="4" spans="1:5" ht="15" customHeight="1" x14ac:dyDescent="0.25">
      <c r="A4" s="1"/>
      <c r="B4" s="110"/>
      <c r="C4" s="110"/>
      <c r="D4" s="110"/>
      <c r="E4" s="1"/>
    </row>
    <row r="5" spans="1:5" x14ac:dyDescent="0.25">
      <c r="A5" s="1"/>
      <c r="B5" s="111" t="s">
        <v>145</v>
      </c>
      <c r="C5" s="111"/>
      <c r="D5" s="111"/>
      <c r="E5" s="1"/>
    </row>
    <row r="6" spans="1:5" x14ac:dyDescent="0.25">
      <c r="A6" s="1"/>
      <c r="B6" s="80"/>
      <c r="C6" s="80"/>
      <c r="D6" s="80"/>
      <c r="E6" s="1"/>
    </row>
    <row r="7" spans="1:5" x14ac:dyDescent="0.25">
      <c r="A7" s="1"/>
      <c r="B7" s="1"/>
      <c r="C7" s="1"/>
      <c r="D7" s="1"/>
      <c r="E7" s="1"/>
    </row>
    <row r="8" spans="1:5" x14ac:dyDescent="0.25">
      <c r="A8" s="1"/>
      <c r="B8" s="33" t="s">
        <v>13</v>
      </c>
      <c r="C8" s="28"/>
      <c r="D8" s="19"/>
      <c r="E8" s="1"/>
    </row>
    <row r="9" spans="1:5" ht="15" customHeight="1" x14ac:dyDescent="0.25">
      <c r="A9" s="1"/>
      <c r="B9" s="29" t="s">
        <v>160</v>
      </c>
      <c r="C9" s="7">
        <f>'Fane 2.3. Økonomisk ramme 2027'!C14</f>
        <v>363646034.6232146</v>
      </c>
      <c r="D9" s="8" t="s">
        <v>3</v>
      </c>
      <c r="E9" s="1"/>
    </row>
    <row r="10" spans="1:5" ht="15" customHeight="1" x14ac:dyDescent="0.25">
      <c r="A10" s="1"/>
      <c r="B10" s="26" t="s">
        <v>19</v>
      </c>
      <c r="C10" s="7">
        <f>SUM(C9:C9)*'Fane 15. Nøgletal'!C10</f>
        <v>24109732.095519129</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drift'!C32</f>
        <v>-2561722.4581145225</v>
      </c>
      <c r="D12" s="8" t="s">
        <v>3</v>
      </c>
      <c r="E12" s="1"/>
    </row>
    <row r="13" spans="1:5" ht="15" customHeight="1" x14ac:dyDescent="0.25">
      <c r="A13" s="1"/>
      <c r="B13" s="26" t="s">
        <v>23</v>
      </c>
      <c r="C13" s="9">
        <f>-'Fane 4.2. Gen. krav - anlæg'!C32</f>
        <v>0</v>
      </c>
      <c r="D13" s="8" t="s">
        <v>3</v>
      </c>
      <c r="E13" s="1"/>
    </row>
    <row r="14" spans="1:5" ht="14.25" customHeight="1" x14ac:dyDescent="0.25">
      <c r="A14" s="1"/>
      <c r="B14" s="27" t="s">
        <v>21</v>
      </c>
      <c r="C14" s="10">
        <f>SUM(C9:C13)</f>
        <v>385194044.26061922</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Nøgletal'!C10)^3+'Fane 6. Ikke-påvirkelige omk.'!C28+'Fane 6. Ikke-påvirkelige omk.'!C36</f>
        <v>15948777.616373483</v>
      </c>
      <c r="D16" s="11" t="s">
        <v>3</v>
      </c>
      <c r="E16" s="1"/>
    </row>
    <row r="17" spans="1:5" ht="15" customHeight="1" x14ac:dyDescent="0.25">
      <c r="A17" s="1"/>
      <c r="B17" s="33" t="s">
        <v>43</v>
      </c>
      <c r="C17" s="28"/>
      <c r="D17" s="19"/>
      <c r="E17" s="1"/>
    </row>
    <row r="18" spans="1:5" ht="15" customHeight="1" x14ac:dyDescent="0.25">
      <c r="A18" s="1"/>
      <c r="B18" s="88" t="s">
        <v>43</v>
      </c>
      <c r="C18" s="10">
        <f>'Fane 12. Periodevise driftsomk.'!C30</f>
        <v>0</v>
      </c>
      <c r="D18" s="11" t="s">
        <v>3</v>
      </c>
      <c r="E18" s="1"/>
    </row>
    <row r="19" spans="1:5" x14ac:dyDescent="0.25">
      <c r="A19" s="1"/>
      <c r="B19" s="30" t="s">
        <v>76</v>
      </c>
      <c r="C19" s="28"/>
      <c r="D19" s="19"/>
      <c r="E19" s="1"/>
    </row>
    <row r="20" spans="1:5" x14ac:dyDescent="0.25">
      <c r="A20" s="1"/>
      <c r="B20" s="68" t="s">
        <v>77</v>
      </c>
      <c r="C20" s="10">
        <f>'Fane 8. Skattesagen'!C17</f>
        <v>0</v>
      </c>
      <c r="D20" s="11" t="s">
        <v>3</v>
      </c>
      <c r="E20" s="1"/>
    </row>
    <row r="21" spans="1:5" x14ac:dyDescent="0.25">
      <c r="A21" s="1"/>
      <c r="B21" s="33" t="s">
        <v>161</v>
      </c>
      <c r="C21" s="12">
        <f>SUM(C14,C16,C18,C20)</f>
        <v>401142821.8769927</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ieyehJPuk/uOGvf4vpCMcuoUZYRWiRCvKeWDtxeuMNRJO6NCVf4KBbJ5Umme3ehdQpiPC/n4PoIuCmxyanjWoA==" saltValue="EMu9RDBxCf0CBNvWFx2uuQ=="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5"/>
  <sheetViews>
    <sheetView showGridLines="0" zoomScaleNormal="100" workbookViewId="0"/>
  </sheetViews>
  <sheetFormatPr defaultColWidth="0" defaultRowHeight="15" zeroHeight="1" x14ac:dyDescent="0.25"/>
  <cols>
    <col min="1" max="1" width="6.5703125" style="2" customWidth="1"/>
    <col min="2" max="2" width="53.42578125" style="2" customWidth="1"/>
    <col min="3" max="3" width="12.7109375" style="2" customWidth="1"/>
    <col min="4" max="4" width="3.7109375" style="2" customWidth="1"/>
    <col min="5" max="5" width="10.5703125" style="2" bestFit="1"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116" t="s">
        <v>162</v>
      </c>
      <c r="C3" s="116"/>
      <c r="D3" s="116"/>
      <c r="E3" s="1"/>
    </row>
    <row r="4" spans="1:5" ht="15" customHeight="1" x14ac:dyDescent="0.25">
      <c r="A4" s="1"/>
      <c r="B4" s="116"/>
      <c r="C4" s="116"/>
      <c r="D4" s="116"/>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163</v>
      </c>
      <c r="C8" s="28"/>
      <c r="D8" s="19"/>
      <c r="E8" s="1"/>
    </row>
    <row r="9" spans="1:5" ht="15" customHeight="1" x14ac:dyDescent="0.25">
      <c r="A9" s="1"/>
      <c r="B9" s="29" t="s">
        <v>65</v>
      </c>
      <c r="C9" s="7">
        <v>270236600.19133389</v>
      </c>
      <c r="D9" s="8" t="s">
        <v>3</v>
      </c>
      <c r="E9" s="1"/>
    </row>
    <row r="10" spans="1:5" ht="15" customHeight="1" x14ac:dyDescent="0.25">
      <c r="A10" s="1"/>
      <c r="B10" s="65" t="s">
        <v>35</v>
      </c>
      <c r="C10" s="63">
        <v>3305854.8487999998</v>
      </c>
      <c r="D10" s="8" t="s">
        <v>3</v>
      </c>
      <c r="E10" s="1"/>
    </row>
    <row r="11" spans="1:5" ht="15" customHeight="1" x14ac:dyDescent="0.25">
      <c r="A11" s="1"/>
      <c r="B11" s="65" t="s">
        <v>36</v>
      </c>
      <c r="C11" s="63">
        <v>2517437.1880000001</v>
      </c>
      <c r="D11" s="8" t="s">
        <v>3</v>
      </c>
      <c r="E11" s="1"/>
    </row>
    <row r="12" spans="1:5" ht="15" customHeight="1" x14ac:dyDescent="0.25">
      <c r="A12" s="1"/>
      <c r="B12" s="65" t="s">
        <v>25</v>
      </c>
      <c r="C12" s="9">
        <v>0</v>
      </c>
      <c r="D12" s="8" t="s">
        <v>3</v>
      </c>
      <c r="E12" s="1"/>
    </row>
    <row r="13" spans="1:5" ht="15" customHeight="1" x14ac:dyDescent="0.25">
      <c r="A13" s="1"/>
      <c r="B13" s="65" t="s">
        <v>24</v>
      </c>
      <c r="C13" s="9">
        <v>0</v>
      </c>
      <c r="D13" s="8" t="s">
        <v>3</v>
      </c>
      <c r="E13" s="1"/>
    </row>
    <row r="14" spans="1:5" ht="15" customHeight="1" x14ac:dyDescent="0.25">
      <c r="A14" s="1"/>
      <c r="B14" s="65" t="s">
        <v>63</v>
      </c>
      <c r="C14" s="9">
        <v>0</v>
      </c>
      <c r="D14" s="8" t="s">
        <v>3</v>
      </c>
      <c r="E14" s="1"/>
    </row>
    <row r="15" spans="1:5" ht="15" customHeight="1" x14ac:dyDescent="0.25">
      <c r="A15" s="1"/>
      <c r="B15" s="65" t="s">
        <v>64</v>
      </c>
      <c r="C15" s="9">
        <v>0</v>
      </c>
      <c r="D15" s="8" t="s">
        <v>3</v>
      </c>
      <c r="E15" s="1"/>
    </row>
    <row r="16" spans="1:5" ht="15" customHeight="1" x14ac:dyDescent="0.25">
      <c r="A16" s="1"/>
      <c r="B16" s="65" t="s">
        <v>19</v>
      </c>
      <c r="C16" s="9">
        <v>22305639.292033218</v>
      </c>
      <c r="D16" s="8" t="s">
        <v>3</v>
      </c>
      <c r="E16" s="1"/>
    </row>
    <row r="17" spans="1:5" ht="15" customHeight="1" x14ac:dyDescent="0.25">
      <c r="A17" s="1"/>
      <c r="B17" s="65" t="s">
        <v>10</v>
      </c>
      <c r="C17" s="9">
        <v>0</v>
      </c>
      <c r="D17" s="8" t="s">
        <v>3</v>
      </c>
      <c r="E17" s="1"/>
    </row>
    <row r="18" spans="1:5" ht="15" customHeight="1" x14ac:dyDescent="0.25">
      <c r="A18" s="1"/>
      <c r="B18" s="65" t="s">
        <v>22</v>
      </c>
      <c r="C18" s="9">
        <v>-2089588.605259463</v>
      </c>
      <c r="D18" s="8" t="s">
        <v>3</v>
      </c>
      <c r="E18" s="43"/>
    </row>
    <row r="19" spans="1:5" ht="15" customHeight="1" x14ac:dyDescent="0.25">
      <c r="A19" s="1"/>
      <c r="B19" s="65" t="s">
        <v>23</v>
      </c>
      <c r="C19" s="9">
        <v>0</v>
      </c>
      <c r="D19" s="8" t="s">
        <v>3</v>
      </c>
      <c r="E19" s="1"/>
    </row>
    <row r="20" spans="1:5" ht="15" customHeight="1" x14ac:dyDescent="0.25">
      <c r="A20" s="1"/>
      <c r="B20" s="88" t="s">
        <v>21</v>
      </c>
      <c r="C20" s="10">
        <v>296275942.91490763</v>
      </c>
      <c r="D20" s="11" t="s">
        <v>3</v>
      </c>
      <c r="E20" s="1"/>
    </row>
    <row r="21" spans="1:5" ht="15" customHeight="1" x14ac:dyDescent="0.25">
      <c r="A21" s="1"/>
      <c r="B21" s="33" t="s">
        <v>12</v>
      </c>
      <c r="C21" s="28"/>
      <c r="D21" s="19"/>
      <c r="E21" s="1"/>
    </row>
    <row r="22" spans="1:5" ht="15" customHeight="1" x14ac:dyDescent="0.25">
      <c r="A22" s="1"/>
      <c r="B22" s="31" t="s">
        <v>12</v>
      </c>
      <c r="C22" s="10">
        <v>20618843.530309759</v>
      </c>
      <c r="D22" s="11" t="s">
        <v>3</v>
      </c>
      <c r="E22" s="1"/>
    </row>
    <row r="23" spans="1:5" ht="15" customHeight="1" x14ac:dyDescent="0.25">
      <c r="A23" s="1"/>
      <c r="B23" s="33" t="s">
        <v>43</v>
      </c>
      <c r="C23" s="28"/>
      <c r="D23" s="19"/>
      <c r="E23" s="1"/>
    </row>
    <row r="24" spans="1:5" ht="15" customHeight="1" x14ac:dyDescent="0.25">
      <c r="A24" s="1"/>
      <c r="B24" s="88" t="s">
        <v>43</v>
      </c>
      <c r="C24" s="10">
        <v>0</v>
      </c>
      <c r="D24" s="11" t="s">
        <v>3</v>
      </c>
      <c r="E24" s="1"/>
    </row>
    <row r="25" spans="1:5" x14ac:dyDescent="0.25">
      <c r="A25" s="1"/>
      <c r="B25" s="33" t="s">
        <v>42</v>
      </c>
      <c r="C25" s="28"/>
      <c r="D25" s="19"/>
      <c r="E25" s="1"/>
    </row>
    <row r="26" spans="1:5" ht="15" customHeight="1" x14ac:dyDescent="0.25">
      <c r="A26" s="1"/>
      <c r="B26" s="65" t="s">
        <v>38</v>
      </c>
      <c r="C26" s="9">
        <v>0</v>
      </c>
      <c r="D26" s="8" t="s">
        <v>3</v>
      </c>
      <c r="E26" s="1"/>
    </row>
    <row r="27" spans="1:5" ht="15" customHeight="1" x14ac:dyDescent="0.25">
      <c r="A27" s="1"/>
      <c r="B27" s="65" t="s">
        <v>39</v>
      </c>
      <c r="C27" s="9">
        <v>0</v>
      </c>
      <c r="D27" s="8" t="s">
        <v>3</v>
      </c>
      <c r="E27" s="1"/>
    </row>
    <row r="28" spans="1:5" ht="15" customHeight="1" x14ac:dyDescent="0.25">
      <c r="A28" s="1"/>
      <c r="B28" s="65" t="s">
        <v>226</v>
      </c>
      <c r="C28" s="9">
        <v>0</v>
      </c>
      <c r="D28" s="8" t="s">
        <v>3</v>
      </c>
      <c r="E28" s="1"/>
    </row>
    <row r="29" spans="1:5" ht="15" customHeight="1" x14ac:dyDescent="0.25">
      <c r="A29" s="1"/>
      <c r="B29" s="72" t="s">
        <v>227</v>
      </c>
      <c r="C29" s="9">
        <v>0</v>
      </c>
      <c r="D29" s="8" t="s">
        <v>3</v>
      </c>
      <c r="E29" s="1"/>
    </row>
    <row r="30" spans="1:5" ht="15" customHeight="1" x14ac:dyDescent="0.25">
      <c r="A30" s="1"/>
      <c r="B30" s="88" t="s">
        <v>44</v>
      </c>
      <c r="C30" s="10">
        <v>0</v>
      </c>
      <c r="D30" s="11" t="s">
        <v>3</v>
      </c>
      <c r="E30" s="1"/>
    </row>
    <row r="31" spans="1:5" ht="15" customHeight="1" x14ac:dyDescent="0.25">
      <c r="A31" s="1"/>
      <c r="B31" s="33" t="s">
        <v>129</v>
      </c>
      <c r="C31" s="28"/>
      <c r="D31" s="19"/>
      <c r="E31" s="1"/>
    </row>
    <row r="32" spans="1:5" ht="15" customHeight="1" x14ac:dyDescent="0.25">
      <c r="A32" s="1"/>
      <c r="B32" s="31" t="s">
        <v>129</v>
      </c>
      <c r="C32" s="10">
        <v>0</v>
      </c>
      <c r="D32" s="11" t="s">
        <v>3</v>
      </c>
      <c r="E32" s="1"/>
    </row>
    <row r="33" spans="1:5" x14ac:dyDescent="0.25">
      <c r="A33" s="1"/>
      <c r="B33" s="33" t="s">
        <v>70</v>
      </c>
      <c r="C33" s="28"/>
      <c r="D33" s="19"/>
      <c r="E33" s="1"/>
    </row>
    <row r="34" spans="1:5" ht="15.4" customHeight="1" x14ac:dyDescent="0.25">
      <c r="A34" s="1"/>
      <c r="B34" s="31" t="s">
        <v>80</v>
      </c>
      <c r="C34" s="10">
        <v>-5719782.2099999785</v>
      </c>
      <c r="D34" s="11" t="s">
        <v>3</v>
      </c>
      <c r="E34" s="1"/>
    </row>
    <row r="35" spans="1:5" ht="15.4" customHeight="1" x14ac:dyDescent="0.25">
      <c r="A35" s="1"/>
      <c r="B35" s="113" t="s">
        <v>76</v>
      </c>
      <c r="C35" s="114"/>
      <c r="D35" s="115"/>
      <c r="E35" s="1"/>
    </row>
    <row r="36" spans="1:5" x14ac:dyDescent="0.25">
      <c r="A36" s="1"/>
      <c r="B36" s="68" t="s">
        <v>77</v>
      </c>
      <c r="C36" s="10">
        <v>0</v>
      </c>
      <c r="D36" s="11" t="s">
        <v>3</v>
      </c>
      <c r="E36" s="1"/>
    </row>
    <row r="37" spans="1:5" x14ac:dyDescent="0.25">
      <c r="A37" s="1"/>
      <c r="B37" s="30" t="s">
        <v>214</v>
      </c>
      <c r="C37" s="28"/>
      <c r="D37" s="19"/>
      <c r="E37" s="1"/>
    </row>
    <row r="38" spans="1:5" x14ac:dyDescent="0.25">
      <c r="A38" s="1"/>
      <c r="B38" s="68" t="s">
        <v>215</v>
      </c>
      <c r="C38" s="10">
        <v>5760787.5648878897</v>
      </c>
      <c r="D38" s="11" t="s">
        <v>3</v>
      </c>
      <c r="E38" s="1"/>
    </row>
    <row r="39" spans="1:5" x14ac:dyDescent="0.25">
      <c r="A39" s="1"/>
      <c r="B39" s="33" t="s">
        <v>66</v>
      </c>
      <c r="C39" s="12">
        <v>316935791.80010527</v>
      </c>
      <c r="D39" s="13" t="s">
        <v>3</v>
      </c>
      <c r="E39" s="1"/>
    </row>
    <row r="40" spans="1:5" ht="30" customHeight="1" x14ac:dyDescent="0.25">
      <c r="A40" s="1"/>
      <c r="B40" s="112" t="s">
        <v>228</v>
      </c>
      <c r="C40" s="112"/>
      <c r="D40" s="112"/>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ht="14.25" customHeight="1"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s="56" customFormat="1" hidden="1" x14ac:dyDescent="0.25"/>
    <row r="50" spans="1:5" s="56" customFormat="1" hidden="1" x14ac:dyDescent="0.25"/>
    <row r="51" spans="1:5" s="56" customFormat="1" hidden="1" x14ac:dyDescent="0.25"/>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sheetData>
  <sheetProtection algorithmName="SHA-512" hashValue="ShBsmDYcjjcS1zTh9us2moY95chW0vJaaYih+jptpbf75uJmboRd8g0G7qkCsung33t3ZM5FduUyfpM49Ekh6A==" saltValue="/+8B8df5hOHT5Te2m3ivWg==" spinCount="100000" sheet="1" objects="1" scenarios="1"/>
  <mergeCells count="3">
    <mergeCell ref="B40:D40"/>
    <mergeCell ref="B35:D35"/>
    <mergeCell ref="B3: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42578125" style="2" customWidth="1"/>
    <col min="5" max="5" width="5.28515625" style="2" customWidth="1"/>
    <col min="6" max="16384" width="9.140625" style="2" hidden="1"/>
  </cols>
  <sheetData>
    <row r="1" spans="1:5" ht="15" customHeight="1" x14ac:dyDescent="0.25">
      <c r="A1" s="1"/>
      <c r="B1" s="35"/>
      <c r="C1" s="35"/>
      <c r="D1" s="35"/>
      <c r="E1" s="1"/>
    </row>
    <row r="2" spans="1:5" ht="15" customHeight="1" x14ac:dyDescent="0.25">
      <c r="A2" s="1"/>
      <c r="B2" s="35"/>
      <c r="C2" s="35"/>
      <c r="D2" s="35"/>
      <c r="E2" s="1"/>
    </row>
    <row r="3" spans="1:5" ht="15" customHeight="1" x14ac:dyDescent="0.25">
      <c r="A3" s="1"/>
      <c r="B3" s="116" t="s">
        <v>57</v>
      </c>
      <c r="C3" s="116"/>
      <c r="D3" s="116"/>
      <c r="E3" s="1"/>
    </row>
    <row r="4" spans="1:5" ht="15" customHeight="1" x14ac:dyDescent="0.25">
      <c r="A4" s="1"/>
      <c r="B4" s="116"/>
      <c r="C4" s="116"/>
      <c r="D4" s="116"/>
      <c r="E4" s="1"/>
    </row>
    <row r="5" spans="1:5" ht="15" customHeight="1" x14ac:dyDescent="0.25">
      <c r="A5" s="1"/>
      <c r="B5" s="116"/>
      <c r="C5" s="116"/>
      <c r="D5" s="116"/>
      <c r="E5" s="1"/>
    </row>
    <row r="6" spans="1:5" ht="15" customHeight="1" x14ac:dyDescent="0.25">
      <c r="A6" s="1"/>
      <c r="B6" s="81"/>
      <c r="C6" s="81"/>
      <c r="D6" s="81"/>
      <c r="E6" s="1"/>
    </row>
    <row r="7" spans="1:5" x14ac:dyDescent="0.25">
      <c r="A7" s="1"/>
      <c r="B7" s="1"/>
      <c r="C7" s="1"/>
      <c r="D7" s="1"/>
      <c r="E7" s="1"/>
    </row>
    <row r="8" spans="1:5" x14ac:dyDescent="0.25">
      <c r="A8" s="1"/>
      <c r="B8" s="117" t="s">
        <v>124</v>
      </c>
      <c r="C8" s="118"/>
      <c r="D8" s="119"/>
      <c r="E8" s="1"/>
    </row>
    <row r="9" spans="1:5" x14ac:dyDescent="0.25">
      <c r="A9" s="1"/>
      <c r="B9" s="66" t="s">
        <v>89</v>
      </c>
      <c r="C9" s="23">
        <v>100906462.34239011</v>
      </c>
      <c r="D9" s="14" t="s">
        <v>3</v>
      </c>
      <c r="E9" s="1"/>
    </row>
    <row r="10" spans="1:5" x14ac:dyDescent="0.25">
      <c r="A10" s="1"/>
      <c r="B10" s="66" t="s">
        <v>126</v>
      </c>
      <c r="C10" s="23">
        <f>('Fane 3. Omkostninger i ØR2024'!C10+'Fane 3. Omkostninger i ØR2024'!C12+'Fane 3. Omkostninger i ØR2024'!C14)*(1+'Fane 15. Nøgletal'!C9)</f>
        <v>3572967.9205830395</v>
      </c>
      <c r="D10" s="14" t="s">
        <v>3</v>
      </c>
      <c r="E10" s="1"/>
    </row>
    <row r="11" spans="1:5" x14ac:dyDescent="0.25">
      <c r="A11" s="1"/>
      <c r="B11" s="66" t="s">
        <v>132</v>
      </c>
      <c r="C11" s="23">
        <f>C9*'Fane 15. Nøgletal'!C21+C10*'Fane 15. Nøgletal'!C21</f>
        <v>2089588.605259463</v>
      </c>
      <c r="D11" s="14" t="s">
        <v>3</v>
      </c>
      <c r="E11" s="1"/>
    </row>
    <row r="12" spans="1:5" x14ac:dyDescent="0.25">
      <c r="A12" s="1"/>
      <c r="B12" s="33"/>
      <c r="C12" s="28"/>
      <c r="D12" s="19"/>
      <c r="E12" s="1"/>
    </row>
    <row r="13" spans="1:5" x14ac:dyDescent="0.25">
      <c r="A13" s="1"/>
      <c r="B13" s="1"/>
      <c r="C13" s="1"/>
      <c r="D13" s="1"/>
      <c r="E13" s="1"/>
    </row>
    <row r="14" spans="1:5" x14ac:dyDescent="0.25">
      <c r="A14" s="1"/>
      <c r="B14" s="117" t="s">
        <v>125</v>
      </c>
      <c r="C14" s="118"/>
      <c r="D14" s="119"/>
      <c r="E14" s="1"/>
    </row>
    <row r="15" spans="1:5" x14ac:dyDescent="0.25">
      <c r="A15" s="1"/>
      <c r="B15" s="66" t="s">
        <v>134</v>
      </c>
      <c r="C15" s="23">
        <f>(C9+C10-C11)*(1+'Fane 15. Nøgletal'!C9)</f>
        <v>110662940.86365694</v>
      </c>
      <c r="D15" s="14" t="s">
        <v>3</v>
      </c>
      <c r="E15" s="1"/>
    </row>
    <row r="16" spans="1:5" x14ac:dyDescent="0.25">
      <c r="A16" s="1"/>
      <c r="B16" s="66" t="s">
        <v>185</v>
      </c>
      <c r="C16" s="23">
        <f>('Fane 2.1. Økonomisk ramme 2025'!C10+'Fane 2.1. Økonomisk ramme 2025'!C12+'Fane 2.1. Økonomisk ramme 2025'!C14)*(1+'Fane 15. Nøgletal'!C10)</f>
        <v>1586871.91165799</v>
      </c>
      <c r="D16" s="14" t="s">
        <v>3</v>
      </c>
      <c r="E16" s="1"/>
    </row>
    <row r="17" spans="1:5" x14ac:dyDescent="0.25">
      <c r="A17" s="1"/>
      <c r="B17" s="66" t="s">
        <v>133</v>
      </c>
      <c r="C17" s="23">
        <f>C15*'Fane 15. Nøgletal'!C21+C16*'Fane 15. Nøgletal'!C21</f>
        <v>2244996.255506299</v>
      </c>
      <c r="D17" s="14" t="s">
        <v>3</v>
      </c>
      <c r="E17" s="1"/>
    </row>
    <row r="18" spans="1:5" x14ac:dyDescent="0.25">
      <c r="A18" s="1"/>
      <c r="B18" s="33"/>
      <c r="C18" s="28"/>
      <c r="D18" s="19"/>
      <c r="E18" s="1"/>
    </row>
    <row r="19" spans="1:5" x14ac:dyDescent="0.25">
      <c r="A19" s="1"/>
      <c r="B19" s="1"/>
      <c r="C19" s="64"/>
      <c r="D19" s="1"/>
      <c r="E19" s="1"/>
    </row>
    <row r="20" spans="1:5" x14ac:dyDescent="0.25">
      <c r="A20" s="1"/>
      <c r="B20" s="117" t="s">
        <v>146</v>
      </c>
      <c r="C20" s="118"/>
      <c r="D20" s="119"/>
      <c r="E20" s="1"/>
    </row>
    <row r="21" spans="1:5" x14ac:dyDescent="0.25">
      <c r="A21" s="1"/>
      <c r="B21" s="66" t="s">
        <v>190</v>
      </c>
      <c r="C21" s="23">
        <f>(C15+C16-C17)*(1+'Fane 15. Nøgletal'!C10)</f>
        <v>117298135.85507195</v>
      </c>
      <c r="D21" s="14" t="s">
        <v>3</v>
      </c>
      <c r="E21" s="1"/>
    </row>
    <row r="22" spans="1:5" x14ac:dyDescent="0.25">
      <c r="A22" s="1"/>
      <c r="B22" s="66" t="s">
        <v>197</v>
      </c>
      <c r="C22" s="23">
        <f>C21*'Fane 15. Nøgletal'!C21</f>
        <v>2345962.7171014389</v>
      </c>
      <c r="D22" s="14" t="s">
        <v>3</v>
      </c>
      <c r="E22" s="1"/>
    </row>
    <row r="23" spans="1:5" x14ac:dyDescent="0.25">
      <c r="A23" s="1"/>
      <c r="B23" s="33"/>
      <c r="C23" s="28"/>
      <c r="D23" s="19"/>
      <c r="E23" s="1"/>
    </row>
    <row r="24" spans="1:5" x14ac:dyDescent="0.25">
      <c r="A24" s="1"/>
      <c r="B24" s="1"/>
      <c r="C24" s="1"/>
      <c r="D24" s="1"/>
      <c r="E24" s="1"/>
    </row>
    <row r="25" spans="1:5" x14ac:dyDescent="0.25">
      <c r="A25" s="1"/>
      <c r="B25" s="117" t="s">
        <v>188</v>
      </c>
      <c r="C25" s="118"/>
      <c r="D25" s="119"/>
      <c r="E25" s="1"/>
    </row>
    <row r="26" spans="1:5" x14ac:dyDescent="0.25">
      <c r="A26" s="1"/>
      <c r="B26" s="66" t="s">
        <v>191</v>
      </c>
      <c r="C26" s="23">
        <f>(C21-C22)*(1+'Fane 15. Nøgletal'!C10)</f>
        <v>122573502.21701795</v>
      </c>
      <c r="D26" s="14" t="s">
        <v>3</v>
      </c>
      <c r="E26" s="1"/>
    </row>
    <row r="27" spans="1:5" x14ac:dyDescent="0.25">
      <c r="A27" s="1"/>
      <c r="B27" s="66" t="s">
        <v>195</v>
      </c>
      <c r="C27" s="23">
        <f>C26*'Fane 15. Nøgletal'!C21</f>
        <v>2451470.044340359</v>
      </c>
      <c r="D27" s="14" t="s">
        <v>3</v>
      </c>
      <c r="E27" s="1"/>
    </row>
    <row r="28" spans="1:5" x14ac:dyDescent="0.25">
      <c r="A28" s="1"/>
      <c r="B28" s="33"/>
      <c r="C28" s="28"/>
      <c r="D28" s="19"/>
      <c r="E28" s="1"/>
    </row>
    <row r="29" spans="1:5" x14ac:dyDescent="0.25">
      <c r="A29" s="1"/>
      <c r="B29" s="1"/>
      <c r="C29" s="1"/>
      <c r="D29" s="1"/>
      <c r="E29" s="1"/>
    </row>
    <row r="30" spans="1:5" x14ac:dyDescent="0.25">
      <c r="A30" s="1"/>
      <c r="B30" s="117" t="s">
        <v>189</v>
      </c>
      <c r="C30" s="118"/>
      <c r="D30" s="119"/>
      <c r="E30" s="1"/>
    </row>
    <row r="31" spans="1:5" x14ac:dyDescent="0.25">
      <c r="A31" s="1"/>
      <c r="B31" s="66" t="s">
        <v>192</v>
      </c>
      <c r="C31" s="23">
        <f>(C26-C27)*(1+'Fane 15. Nøgletal'!C10)</f>
        <v>128086122.90572612</v>
      </c>
      <c r="D31" s="14" t="s">
        <v>3</v>
      </c>
      <c r="E31" s="1"/>
    </row>
    <row r="32" spans="1:5" x14ac:dyDescent="0.25">
      <c r="A32" s="1"/>
      <c r="B32" s="66" t="s">
        <v>196</v>
      </c>
      <c r="C32" s="23">
        <f>C31*'Fane 15. Nøgletal'!C21</f>
        <v>2561722.4581145225</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0Sr8cEJ+R1zaP60Z1e9+H3gAxAm7cQ0pRANSfhwQkRddlHifYpGXOSaarc/k5ePGPpCYIpxzJqgBVpg4hlI93g==" saltValue="gPj1K70ZfJUICQo20Sueeg==" spinCount="100000" sheet="1" objects="1" scenarios="1"/>
  <mergeCells count="6">
    <mergeCell ref="B3:D5"/>
    <mergeCell ref="B30:D30"/>
    <mergeCell ref="B20:D20"/>
    <mergeCell ref="B14:D14"/>
    <mergeCell ref="B8:D8"/>
    <mergeCell ref="B25:D25"/>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49"/>
  <sheetViews>
    <sheetView showGridLines="0" zoomScaleNormal="100" workbookViewId="0"/>
  </sheetViews>
  <sheetFormatPr defaultColWidth="0" defaultRowHeight="15" zeroHeight="1" x14ac:dyDescent="0.25"/>
  <cols>
    <col min="1" max="1" width="5.28515625" style="2" customWidth="1"/>
    <col min="2" max="2" width="58.140625" style="2" customWidth="1"/>
    <col min="3" max="3" width="11.7109375" style="2" customWidth="1"/>
    <col min="4" max="4" width="3.140625" style="2" customWidth="1"/>
    <col min="5" max="5" width="5.28515625" style="2" customWidth="1"/>
    <col min="6" max="16384" width="9.140625" style="2" hidden="1"/>
  </cols>
  <sheetData>
    <row r="1" spans="1:5" ht="14.25" customHeight="1" x14ac:dyDescent="0.35">
      <c r="A1" s="1"/>
      <c r="B1" s="70"/>
      <c r="C1" s="70"/>
      <c r="D1" s="70"/>
      <c r="E1" s="1"/>
    </row>
    <row r="2" spans="1:5" ht="15" customHeight="1" x14ac:dyDescent="0.35">
      <c r="A2" s="1"/>
      <c r="B2" s="70"/>
      <c r="C2" s="70"/>
      <c r="D2" s="70"/>
      <c r="E2" s="1"/>
    </row>
    <row r="3" spans="1:5" ht="15" customHeight="1" x14ac:dyDescent="0.25">
      <c r="A3" s="1"/>
      <c r="B3" s="120" t="s">
        <v>58</v>
      </c>
      <c r="C3" s="120"/>
      <c r="D3" s="120"/>
      <c r="E3" s="1"/>
    </row>
    <row r="4" spans="1:5" ht="15" customHeight="1" x14ac:dyDescent="0.25">
      <c r="A4" s="1"/>
      <c r="B4" s="120"/>
      <c r="C4" s="120"/>
      <c r="D4" s="120"/>
      <c r="E4" s="1"/>
    </row>
    <row r="5" spans="1:5" ht="15" customHeight="1" x14ac:dyDescent="0.25">
      <c r="A5" s="1"/>
      <c r="B5" s="120"/>
      <c r="C5" s="120"/>
      <c r="D5" s="120"/>
      <c r="E5" s="1"/>
    </row>
    <row r="6" spans="1:5" ht="15" customHeight="1" x14ac:dyDescent="0.35">
      <c r="A6" s="1"/>
      <c r="B6" s="70"/>
      <c r="C6" s="70"/>
      <c r="D6" s="70"/>
      <c r="E6" s="1"/>
    </row>
    <row r="7" spans="1:5" x14ac:dyDescent="0.25">
      <c r="A7" s="1"/>
      <c r="B7" s="1"/>
      <c r="C7" s="1"/>
      <c r="D7" s="1"/>
      <c r="E7" s="1"/>
    </row>
    <row r="8" spans="1:5" x14ac:dyDescent="0.25">
      <c r="A8" s="1"/>
      <c r="B8" s="117" t="s">
        <v>148</v>
      </c>
      <c r="C8" s="118"/>
      <c r="D8" s="119"/>
      <c r="E8" s="1"/>
    </row>
    <row r="9" spans="1:5" x14ac:dyDescent="0.25">
      <c r="A9" s="1"/>
      <c r="B9" s="66" t="s">
        <v>135</v>
      </c>
      <c r="C9" s="23">
        <v>193198027.16003668</v>
      </c>
      <c r="D9" s="14" t="s">
        <v>3</v>
      </c>
      <c r="E9" s="1"/>
    </row>
    <row r="10" spans="1:5" x14ac:dyDescent="0.25">
      <c r="A10" s="1"/>
      <c r="B10" s="66" t="s">
        <v>127</v>
      </c>
      <c r="C10" s="23">
        <f>('Fane 3. Omkostninger i ØR2024'!C11+'Fane 3. Omkostninger i ØR2024'!C13+'Fane 3. Omkostninger i ØR2024'!C15)*(1+'Fane 15. Nøgletal'!C9)</f>
        <v>2720846.1127904002</v>
      </c>
      <c r="D10" s="14" t="s">
        <v>3</v>
      </c>
      <c r="E10" s="1"/>
    </row>
    <row r="11" spans="1:5" x14ac:dyDescent="0.25">
      <c r="A11" s="1"/>
      <c r="B11" s="66" t="s">
        <v>136</v>
      </c>
      <c r="C11" s="77">
        <f>SUM(C9:C10)*'Fane 15. Nøgletal'!C15</f>
        <v>0</v>
      </c>
      <c r="D11" s="14" t="s">
        <v>3</v>
      </c>
      <c r="E11" s="1"/>
    </row>
    <row r="12" spans="1:5" x14ac:dyDescent="0.25">
      <c r="A12" s="1"/>
      <c r="B12" s="33"/>
      <c r="C12" s="28"/>
      <c r="D12" s="19"/>
      <c r="E12" s="1"/>
    </row>
    <row r="13" spans="1:5" x14ac:dyDescent="0.25">
      <c r="A13" s="1"/>
      <c r="B13" s="1"/>
      <c r="C13" s="1"/>
      <c r="D13" s="1"/>
      <c r="E13" s="1"/>
    </row>
    <row r="14" spans="1:5" x14ac:dyDescent="0.25">
      <c r="A14" s="1"/>
      <c r="B14" s="117" t="s">
        <v>147</v>
      </c>
      <c r="C14" s="118"/>
      <c r="D14" s="119"/>
      <c r="E14" s="1"/>
    </row>
    <row r="15" spans="1:5" x14ac:dyDescent="0.25">
      <c r="A15" s="1"/>
      <c r="B15" s="66" t="s">
        <v>137</v>
      </c>
      <c r="C15" s="23">
        <f>(C9+C10-C11)*(1+'Fane 15. Nøgletal'!C9)</f>
        <v>211749118.23327151</v>
      </c>
      <c r="D15" s="14" t="s">
        <v>3</v>
      </c>
      <c r="E15" s="1"/>
    </row>
    <row r="16" spans="1:5" x14ac:dyDescent="0.25">
      <c r="A16" s="1"/>
      <c r="B16" s="66" t="s">
        <v>186</v>
      </c>
      <c r="C16" s="23">
        <f>('Fane 2.1. Økonomisk ramme 2025'!C11+'Fane 2.1. Økonomisk ramme 2025'!C13+'Fane 2.1. Økonomisk ramme 2025'!C15)*(1+'Fane 15. Nøgletal'!C10)</f>
        <v>4629894.3513084194</v>
      </c>
      <c r="D16" s="14" t="s">
        <v>3</v>
      </c>
      <c r="E16" s="1"/>
    </row>
    <row r="17" spans="1:5" x14ac:dyDescent="0.25">
      <c r="A17" s="1"/>
      <c r="B17" s="66" t="s">
        <v>138</v>
      </c>
      <c r="C17" s="77">
        <f>(C15)*'Fane 15. Nøgletal'!C15+C16*'Fane 15. Nøgletal'!C16</f>
        <v>0</v>
      </c>
      <c r="D17" s="14" t="s">
        <v>3</v>
      </c>
      <c r="E17" s="1"/>
    </row>
    <row r="18" spans="1:5" x14ac:dyDescent="0.25">
      <c r="A18" s="1"/>
      <c r="B18" s="33"/>
      <c r="C18" s="28"/>
      <c r="D18" s="19"/>
      <c r="E18" s="1"/>
    </row>
    <row r="19" spans="1:5" x14ac:dyDescent="0.25">
      <c r="A19" s="1"/>
      <c r="B19" s="1"/>
      <c r="C19" s="1"/>
      <c r="D19" s="1"/>
      <c r="E19" s="1"/>
    </row>
    <row r="20" spans="1:5" x14ac:dyDescent="0.25">
      <c r="A20" s="1"/>
      <c r="B20" s="117" t="s">
        <v>83</v>
      </c>
      <c r="C20" s="118"/>
      <c r="D20" s="119"/>
      <c r="E20" s="1"/>
    </row>
    <row r="21" spans="1:5" x14ac:dyDescent="0.25">
      <c r="A21" s="1"/>
      <c r="B21" s="66" t="s">
        <v>193</v>
      </c>
      <c r="C21" s="23">
        <f>(C15+C16-C17)*(1+'Fane 15. Nøgletal'!C10)</f>
        <v>230724941.11893758</v>
      </c>
      <c r="D21" s="14" t="s">
        <v>3</v>
      </c>
      <c r="E21" s="1"/>
    </row>
    <row r="22" spans="1:5" x14ac:dyDescent="0.25">
      <c r="A22" s="1"/>
      <c r="B22" s="66" t="s">
        <v>198</v>
      </c>
      <c r="C22" s="77">
        <f>C21*'Fane 15. Nøgletal'!C16</f>
        <v>0</v>
      </c>
      <c r="D22" s="14" t="s">
        <v>3</v>
      </c>
      <c r="E22" s="1"/>
    </row>
    <row r="23" spans="1:5" x14ac:dyDescent="0.25">
      <c r="A23" s="1"/>
      <c r="B23" s="33"/>
      <c r="C23" s="28"/>
      <c r="D23" s="19"/>
      <c r="E23" s="1"/>
    </row>
    <row r="24" spans="1:5" x14ac:dyDescent="0.25">
      <c r="A24" s="1"/>
      <c r="B24" s="1"/>
      <c r="C24" s="1"/>
      <c r="D24" s="1"/>
      <c r="E24" s="1"/>
    </row>
    <row r="25" spans="1:5" x14ac:dyDescent="0.25">
      <c r="A25" s="1"/>
      <c r="B25" s="117" t="s">
        <v>139</v>
      </c>
      <c r="C25" s="118"/>
      <c r="D25" s="119"/>
      <c r="E25" s="1"/>
    </row>
    <row r="26" spans="1:5" x14ac:dyDescent="0.25">
      <c r="A26" s="1"/>
      <c r="B26" s="66" t="s">
        <v>194</v>
      </c>
      <c r="C26" s="23">
        <f>(C21-C22)*(1+'Fane 15. Nøgletal'!C10)</f>
        <v>246022004.71512315</v>
      </c>
      <c r="D26" s="14" t="s">
        <v>3</v>
      </c>
      <c r="E26" s="1"/>
    </row>
    <row r="27" spans="1:5" x14ac:dyDescent="0.25">
      <c r="A27" s="1"/>
      <c r="B27" s="66" t="s">
        <v>199</v>
      </c>
      <c r="C27" s="77">
        <f>C26*'Fane 15. Nøgletal'!C16</f>
        <v>0</v>
      </c>
      <c r="D27" s="14" t="s">
        <v>3</v>
      </c>
      <c r="E27" s="1"/>
    </row>
    <row r="28" spans="1:5" x14ac:dyDescent="0.25">
      <c r="A28" s="1"/>
      <c r="B28" s="33"/>
      <c r="C28" s="28"/>
      <c r="D28" s="19"/>
      <c r="E28" s="1"/>
    </row>
    <row r="29" spans="1:5" x14ac:dyDescent="0.25">
      <c r="A29" s="1"/>
      <c r="B29" s="1"/>
      <c r="C29" s="1"/>
      <c r="D29" s="1"/>
      <c r="E29" s="1"/>
    </row>
    <row r="30" spans="1:5" x14ac:dyDescent="0.25">
      <c r="A30" s="1"/>
      <c r="B30" s="117" t="s">
        <v>164</v>
      </c>
      <c r="C30" s="118"/>
      <c r="D30" s="119"/>
      <c r="E30" s="1"/>
    </row>
    <row r="31" spans="1:5" x14ac:dyDescent="0.25">
      <c r="A31" s="1"/>
      <c r="B31" s="66" t="s">
        <v>201</v>
      </c>
      <c r="C31" s="23">
        <f>(C26-C27)*(1+'Fane 15. Nøgletal'!C10)</f>
        <v>262333263.62773582</v>
      </c>
      <c r="D31" s="14" t="s">
        <v>3</v>
      </c>
      <c r="E31" s="1"/>
    </row>
    <row r="32" spans="1:5" x14ac:dyDescent="0.25">
      <c r="A32" s="1"/>
      <c r="B32" s="66" t="s">
        <v>200</v>
      </c>
      <c r="C32" s="77">
        <f>C31*'Fane 15. Nøgletal'!C16</f>
        <v>0</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vHQAsOGlU2TXh6cEx92DKms3dlCMBcD4A0L/kqbE0wJXOOeeUiR6Ms3dTR18Dztk/5GDTg9QQryb/BcPGZewiw==" saltValue="2sVGRRWlCHsMlyEJvDcNvA==" spinCount="100000" sheet="1" objects="1" scenarios="1"/>
  <mergeCells count="6">
    <mergeCell ref="B3:D5"/>
    <mergeCell ref="B30:D30"/>
    <mergeCell ref="B25:D25"/>
    <mergeCell ref="B8:D8"/>
    <mergeCell ref="B14:D14"/>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D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10" t="s">
        <v>45</v>
      </c>
      <c r="C3" s="110"/>
      <c r="D3" s="1"/>
    </row>
    <row r="4" spans="1:4" ht="15" customHeight="1" x14ac:dyDescent="0.25">
      <c r="A4" s="1"/>
      <c r="B4" s="110"/>
      <c r="C4" s="110"/>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17" t="s">
        <v>10</v>
      </c>
      <c r="C8" s="119"/>
      <c r="D8" s="1"/>
    </row>
    <row r="9" spans="1:4" x14ac:dyDescent="0.25">
      <c r="A9" s="1"/>
      <c r="B9" s="66" t="s">
        <v>165</v>
      </c>
      <c r="C9" s="22">
        <v>0</v>
      </c>
      <c r="D9" s="1"/>
    </row>
    <row r="10" spans="1:4" x14ac:dyDescent="0.25">
      <c r="A10" s="1"/>
      <c r="B10" s="33"/>
      <c r="C10" s="19"/>
      <c r="D10" s="1"/>
    </row>
    <row r="11" spans="1:4" x14ac:dyDescent="0.25">
      <c r="A11" s="1"/>
      <c r="B11" s="121" t="s">
        <v>221</v>
      </c>
      <c r="C11" s="122"/>
      <c r="D11" s="1"/>
    </row>
    <row r="12" spans="1:4" x14ac:dyDescent="0.25">
      <c r="A12" s="1"/>
      <c r="B12" s="123"/>
      <c r="C12" s="124"/>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sheetData>
  <sheetProtection algorithmName="SHA-512" hashValue="Pp+Zf+1/NFklLndsJEk9uqqoyF66YfPkQzeM6Fes6iOiED3qwZfMjDg4z4jp1o45OqSbjDsN41574/HU+9E5Uw==" saltValue="A+ei7HVbBYhe2W2cMwVT0w==" spinCount="100000" sheet="1" objects="1" scenarios="1"/>
  <mergeCells count="3">
    <mergeCell ref="B3:C4"/>
    <mergeCell ref="B8:C8"/>
    <mergeCell ref="B11: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19</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Korrektion af ØR2023</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Fane21</vt:lpstr>
      <vt:lpstr>Fane21total</vt:lpstr>
      <vt:lpstr>Fane22</vt:lpstr>
      <vt:lpstr>Fane22total</vt:lpstr>
      <vt:lpstr>Fane23</vt:lpstr>
      <vt:lpstr>Fane23total</vt:lpstr>
      <vt:lpstr>Fane24</vt:lpstr>
      <vt:lpstr>Fane24total</vt:lpstr>
      <vt:lpstr>Fane3total</vt:lpstr>
      <vt:lpstr>Tabel_Fane_13</vt:lpstr>
      <vt:lpstr>Tabel_Fane_14</vt:lpstr>
      <vt:lpstr>Tabel_Fane_2_1</vt:lpstr>
      <vt:lpstr>Tabel_Fane_2_2</vt:lpstr>
      <vt:lpstr>Tabel_Fane_2_3</vt:lpstr>
      <vt:lpstr>Tabel_Fane_2_4</vt:lpstr>
      <vt:lpstr>Tabel_Fane_3</vt:lpstr>
      <vt:lpstr>ØR25total</vt:lpstr>
      <vt:lpstr>ØR26total</vt:lpstr>
      <vt:lpstr>ØR27total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2024-05-06T07:45:39Z</cp:lastPrinted>
  <dcterms:created xsi:type="dcterms:W3CDTF">2016-06-02T08:51:18Z</dcterms:created>
  <dcterms:modified xsi:type="dcterms:W3CDTF">2024-10-04T08:20:11Z</dcterms:modified>
</cp:coreProperties>
</file>