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Vandmiljø Randers AS (V151)\ØR2023\"/>
    </mc:Choice>
  </mc:AlternateContent>
  <xr:revisionPtr revIDLastSave="0" documentId="13_ncr:1_{78678D18-500F-4440-87DA-0ECBE32BA6CF}" xr6:coauthVersionLast="36" xr6:coauthVersionMax="36" xr10:uidLastSave="{00000000-0000-0000-0000-000000000000}"/>
  <bookViews>
    <workbookView xWindow="3105" yWindow="990" windowWidth="12735" windowHeight="4620" tabRatio="872" activeTab="1" xr2:uid="{00000000-000D-0000-FFFF-FFFF00000000}"/>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15" i="7" l="1"/>
  <c r="C16" i="7" s="1"/>
  <c r="E14" i="10"/>
  <c r="C14" i="10"/>
  <c r="E14" i="6" l="1"/>
  <c r="E27" i="6" l="1"/>
  <c r="E17" i="5"/>
  <c r="E17" i="4"/>
  <c r="E17" i="3"/>
  <c r="E26" i="2"/>
  <c r="G18" i="15" l="1"/>
  <c r="E16" i="8" l="1"/>
  <c r="E15" i="8"/>
  <c r="E24" i="8" l="1"/>
  <c r="E28" i="8" s="1"/>
  <c r="E30" i="8" s="1"/>
  <c r="E15" i="3" l="1"/>
  <c r="E24" i="2"/>
  <c r="C11" i="12"/>
  <c r="E11" i="12"/>
  <c r="E10" i="11"/>
  <c r="C10" i="11"/>
  <c r="H11" i="9"/>
  <c r="J11" i="9"/>
  <c r="F10" i="9" l="1"/>
  <c r="F11" i="9" s="1"/>
  <c r="E12" i="12"/>
  <c r="C12" i="12"/>
  <c r="E12" i="2" l="1"/>
  <c r="E11" i="11"/>
  <c r="C11" i="11"/>
  <c r="C10" i="10" l="1"/>
  <c r="C15" i="10" l="1"/>
  <c r="E13" i="5"/>
  <c r="E13" i="4"/>
  <c r="E13" i="3"/>
  <c r="E22" i="6"/>
  <c r="E15" i="6" l="1"/>
  <c r="E16" i="6" s="1"/>
  <c r="E9" i="2" l="1"/>
  <c r="E28" i="6"/>
  <c r="E12" i="13"/>
  <c r="E13" i="13" s="1"/>
  <c r="C12" i="13"/>
  <c r="C13" i="13" s="1"/>
  <c r="E11" i="2" l="1"/>
  <c r="E19" i="2" l="1"/>
  <c r="E20" i="2"/>
  <c r="E21" i="2" l="1"/>
  <c r="E22" i="2" s="1"/>
  <c r="E17" i="2" l="1"/>
  <c r="E10" i="10" l="1"/>
  <c r="E15" i="10" l="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<sst xmlns="http://schemas.openxmlformats.org/spreadsheetml/2006/main" count="332" uniqueCount="158">
  <si>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</si>
  <si>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</si>
  <si>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</si>
  <si>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</si>
  <si>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</si>
  <si>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</si>
  <si>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</si>
  <si>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</si>
  <si>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</si>
  <si>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</si>
  <si>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</si>
  <si>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</si>
  <si>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</si>
  <si>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</si>
  <si>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</si>
  <si>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</si>
  <si>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</si>
  <si>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</si>
  <si>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</si>
  <si>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</si>
  <si>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</si>
  <si>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</si>
  <si>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</si>
  <si>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</si>
  <si>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</si>
  <si>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</si>
  <si>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</si>
  <si>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</si>
  <si>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</si>
  <si>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</si>
  <si>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</si>
  <si>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</si>
  <si>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</si>
  <si>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</si>
  <si>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</si>
  <si>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</si>
  <si>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</si>
  <si>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</si>
  <si>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</si>
  <si>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</si>
  <si>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</si>
  <si>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</si>
  <si>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</si>
  <si>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</si>
  <si>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</si>
  <si>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</si>
  <si>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</si>
  <si>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</si>
  <si>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</si>
  <si>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</si>
  <si>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</si>
  <si>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</si>
  <si>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</si>
  <si>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</si>
  <si>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</si>
  <si>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</si>
  <si>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</si>
  <si>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</si>
  <si>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</si>
  <si>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</si>
  <si>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</si>
  <si>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</si>
  <si>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</si>
  <si>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</si>
  <si>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</si>
  <si>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</si>
  <si>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</si>
  <si>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</si>
  <si>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</si>
  <si>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</si>
  <si>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</si>
  <si>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</si>
  <si>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</si>
  <si>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</si>
  <si>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</si>
  <si>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</si>
  <si>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</si>
  <si>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</si>
  <si>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</si>
  <si>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</si>
  <si>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</si>
  <si>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</si>
  <si>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</si>
  <si>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</si>
  <si>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</si>
  <si>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</si>
  <si>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</si>
  <si>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</si>
  <si>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</si>
  <si>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</si>
  <si>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</si>
  <si>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</si>
  <si>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</si>
  <si>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</si>
  <si>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</si>
  <si>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</si>
  <si>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</si>
  <si>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</si>
  <si>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</si>
  <si>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</si>
  <si>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</si>
  <si>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</si>
  <si>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</si>
  <si>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</si>
  <si>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</si>
  <si>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</si>
  <si>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</si>
  <si>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</si>
  <si>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</si>
  <si>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</si>
  <si>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</si>
  <si>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</si>
  <si>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</si>
  <si>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</si>
  <si>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</si>
  <si>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</si>
  <si>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</si>
  <si>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</si>
  <si>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</si>
  <si>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</si>
  <si>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</si>
  <si>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</si>
  <si>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</si>
  <si>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</si>
  <si>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</si>
  <si>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</si>
  <si>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</si>
  <si>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</si>
  <si>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</si>
  <si>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</si>
  <si>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Vandsamarbejde etableret i medfør af § 52b i vandforsyningsloven</t>
  </si>
  <si>
    <t>Korrigeret over/underdækning i 2020</t>
  </si>
  <si>
    <t>Indregnet fradrag i økonomisk ramme for 2024</t>
  </si>
  <si>
    <t>Faktiske indtægter i 2021</t>
  </si>
  <si>
    <t>Til indregning i de økonomiske rammer for 2023-2024</t>
  </si>
  <si>
    <t>Byggemodninger</t>
  </si>
  <si>
    <t>Anlægsprojekter igangsat senest 1. marts 2016</t>
  </si>
  <si>
    <t>Ingen tilknyttet virksomhed under hovedvirksomheden</t>
  </si>
  <si>
    <t>Ingen bortfald eller nedsættelse</t>
  </si>
  <si>
    <t>Tvede vandværk</t>
  </si>
  <si>
    <t>Ingen anlægsprojekter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</si>
  <si>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</si>
  <si>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</si>
  <si>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</si>
  <si>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</si>
  <si>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</si>
  <si>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</si>
  <si>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</si>
  <si>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</si>
  <si>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engangstillæg</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</si>
  <si>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</si>
  <si>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</si>
  <si>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</si>
  <si>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</si>
  <si>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</si>
  <si>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</si>
  <si>
    <t>Fusion - Linde Vandværk</t>
  </si>
  <si>
    <t>Fusion - Linde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</si>
</sst>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4"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2000000}"/>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6" t="s">
        <v>4</v>
      </c>
      <c r="E6" s="86"/>
      <c r="F6" s="86"/>
      <c r="G6" s="86"/>
      <c r="H6" s="3"/>
      <c r="I6" s="1"/>
    </row>
    <row r="7" spans="1:9" ht="15" customHeight="1" x14ac:dyDescent="0.25">
      <c r="A7" s="1"/>
      <c r="B7" s="1"/>
      <c r="C7" s="3"/>
      <c r="D7" s="86"/>
      <c r="E7" s="86"/>
      <c r="F7" s="86"/>
      <c r="G7" s="86"/>
      <c r="H7" s="3"/>
      <c r="I7" s="1"/>
    </row>
    <row r="8" spans="1:9" ht="15.75" x14ac:dyDescent="0.25">
      <c r="A8" s="1"/>
      <c r="B8" s="1"/>
      <c r="C8" s="4"/>
      <c r="D8" s="88" t="s">
        <v>105</v>
      </c>
      <c r="E8" s="88"/>
      <c r="F8" s="88"/>
      <c r="G8" s="88"/>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3" t="s">
        <v>78</v>
      </c>
      <c r="E13" s="84"/>
      <c r="F13" s="84"/>
      <c r="G13" s="85"/>
      <c r="H13" s="1"/>
      <c r="I13" s="1"/>
    </row>
    <row r="14" spans="1:9" x14ac:dyDescent="0.25">
      <c r="A14" s="1"/>
      <c r="B14" s="1"/>
      <c r="C14" s="6" t="s">
        <v>14</v>
      </c>
      <c r="D14" s="83" t="s">
        <v>110</v>
      </c>
      <c r="E14" s="84"/>
      <c r="F14" s="84"/>
      <c r="G14" s="85"/>
      <c r="H14" s="1"/>
      <c r="I14" s="1"/>
    </row>
    <row r="15" spans="1:9" x14ac:dyDescent="0.25">
      <c r="A15" s="1"/>
      <c r="B15" s="1"/>
      <c r="C15" s="6" t="s">
        <v>28</v>
      </c>
      <c r="D15" s="83" t="s">
        <v>64</v>
      </c>
      <c r="E15" s="84"/>
      <c r="F15" s="84"/>
      <c r="G15" s="85"/>
      <c r="H15" s="1"/>
      <c r="I15" s="1"/>
    </row>
    <row r="16" spans="1:9" x14ac:dyDescent="0.25">
      <c r="A16" s="1"/>
      <c r="B16" s="1"/>
      <c r="C16" s="6" t="s">
        <v>29</v>
      </c>
      <c r="D16" s="83" t="s">
        <v>79</v>
      </c>
      <c r="E16" s="84"/>
      <c r="F16" s="84"/>
      <c r="G16" s="85"/>
      <c r="H16" s="1"/>
      <c r="I16" s="1"/>
    </row>
    <row r="17" spans="1:9" x14ac:dyDescent="0.25">
      <c r="A17" s="1"/>
      <c r="B17" s="1"/>
      <c r="C17" s="6" t="s">
        <v>49</v>
      </c>
      <c r="D17" s="83" t="s">
        <v>80</v>
      </c>
      <c r="E17" s="84"/>
      <c r="F17" s="84"/>
      <c r="G17" s="85"/>
      <c r="H17" s="1"/>
      <c r="I17" s="1"/>
    </row>
    <row r="18" spans="1:9" x14ac:dyDescent="0.25">
      <c r="A18" s="1"/>
      <c r="B18" s="1"/>
      <c r="C18" s="6" t="s">
        <v>7</v>
      </c>
      <c r="D18" s="80" t="s">
        <v>11</v>
      </c>
      <c r="E18" s="81"/>
      <c r="F18" s="81"/>
      <c r="G18" s="82"/>
      <c r="H18" s="1"/>
      <c r="I18" s="1"/>
    </row>
    <row r="19" spans="1:9" x14ac:dyDescent="0.25">
      <c r="A19" s="1"/>
      <c r="B19" s="1"/>
      <c r="C19" s="6" t="s">
        <v>8</v>
      </c>
      <c r="D19" s="74" t="s">
        <v>81</v>
      </c>
      <c r="E19" s="75"/>
      <c r="F19" s="75"/>
      <c r="G19" s="76"/>
      <c r="H19" s="1"/>
      <c r="I19" s="1"/>
    </row>
    <row r="20" spans="1:9" x14ac:dyDescent="0.25">
      <c r="A20" s="1"/>
      <c r="B20" s="1"/>
      <c r="C20" s="6" t="s">
        <v>46</v>
      </c>
      <c r="D20" s="74" t="s">
        <v>113</v>
      </c>
      <c r="E20" s="75"/>
      <c r="F20" s="75"/>
      <c r="G20" s="76"/>
      <c r="H20" s="1"/>
      <c r="I20" s="1"/>
    </row>
    <row r="21" spans="1:9" x14ac:dyDescent="0.25">
      <c r="A21" s="1"/>
      <c r="B21" s="1"/>
      <c r="C21" s="6" t="s">
        <v>155</v>
      </c>
      <c r="D21" s="74" t="s">
        <v>108</v>
      </c>
      <c r="E21" s="75"/>
      <c r="F21" s="75"/>
      <c r="G21" s="76"/>
      <c r="H21" s="1"/>
      <c r="I21" s="1"/>
    </row>
    <row r="22" spans="1:9" x14ac:dyDescent="0.25">
      <c r="A22" s="1"/>
      <c r="B22" s="1"/>
      <c r="C22" s="6" t="s">
        <v>120</v>
      </c>
      <c r="D22" s="74" t="s">
        <v>35</v>
      </c>
      <c r="E22" s="75"/>
      <c r="F22" s="75"/>
      <c r="G22" s="76"/>
      <c r="H22" s="1"/>
      <c r="I22" s="1"/>
    </row>
    <row r="23" spans="1:9" x14ac:dyDescent="0.25">
      <c r="A23" s="1"/>
      <c r="B23" s="1"/>
      <c r="C23" s="6" t="s">
        <v>121</v>
      </c>
      <c r="D23" s="74" t="s">
        <v>36</v>
      </c>
      <c r="E23" s="75"/>
      <c r="F23" s="75"/>
      <c r="G23" s="76"/>
      <c r="H23" s="1"/>
      <c r="I23" s="1"/>
    </row>
    <row r="24" spans="1:9" x14ac:dyDescent="0.25">
      <c r="A24" s="1"/>
      <c r="B24" s="1"/>
      <c r="C24" s="6" t="s">
        <v>9</v>
      </c>
      <c r="D24" s="74" t="s">
        <v>53</v>
      </c>
      <c r="E24" s="75"/>
      <c r="F24" s="75"/>
      <c r="G24" s="76"/>
      <c r="H24" s="1"/>
      <c r="I24" s="1"/>
    </row>
    <row r="25" spans="1:9" x14ac:dyDescent="0.25">
      <c r="A25" s="1"/>
      <c r="B25" s="1"/>
      <c r="C25" s="6" t="s">
        <v>41</v>
      </c>
      <c r="D25" s="74" t="s">
        <v>30</v>
      </c>
      <c r="E25" s="75"/>
      <c r="F25" s="75"/>
      <c r="G25" s="76"/>
      <c r="H25" s="1"/>
      <c r="I25" s="1"/>
    </row>
    <row r="26" spans="1:9" x14ac:dyDescent="0.25">
      <c r="A26" s="1"/>
      <c r="B26" s="1"/>
      <c r="C26" s="6" t="s">
        <v>122</v>
      </c>
      <c r="D26" s="77" t="s">
        <v>47</v>
      </c>
      <c r="E26" s="78"/>
      <c r="F26" s="78"/>
      <c r="G26" s="79"/>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18:G18" location="'Fane 4. Ikke-påvirkelige omk.'!A1" display="Ikke-påvirkelige omkostninger" xr:uid="{00000000-0004-0000-0000-000007000000}"/>
    <hyperlink ref="D19:G19" location="'Fane 5. Kontrol af ØR2021'!A1" display="Kontrol af den økonomiske ramme for 2021" xr:uid="{00000000-0004-0000-0000-000008000000}"/>
    <hyperlink ref="D26:G26" location="'Fane 11. Nøgletal'!A1" display="Nøgletal" xr:uid="{00000000-0004-0000-0000-000009000000}"/>
    <hyperlink ref="D17:G17" location="'Fane 3. Omkostninger i ØR2022'!A1" display="Omkostninger i ØR2022"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9" t="s">
        <v>114</v>
      </c>
      <c r="C3" s="89"/>
      <c r="D3" s="89"/>
      <c r="E3" s="89"/>
      <c r="F3" s="89"/>
      <c r="G3" s="89"/>
      <c r="H3" s="89"/>
      <c r="I3" s="89"/>
      <c r="J3" s="89"/>
      <c r="K3" s="89"/>
      <c r="L3" s="1"/>
    </row>
    <row r="4" spans="1:12" ht="15" customHeight="1" x14ac:dyDescent="0.25">
      <c r="A4" s="1"/>
      <c r="B4" s="89"/>
      <c r="C4" s="89"/>
      <c r="D4" s="89"/>
      <c r="E4" s="89"/>
      <c r="F4" s="89"/>
      <c r="G4" s="89"/>
      <c r="H4" s="89"/>
      <c r="I4" s="89"/>
      <c r="J4" s="89"/>
      <c r="K4" s="8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0" t="s">
        <v>101</v>
      </c>
      <c r="C8" s="111"/>
      <c r="D8" s="111"/>
      <c r="E8" s="111"/>
      <c r="F8" s="111"/>
      <c r="G8" s="111"/>
      <c r="H8" s="111"/>
      <c r="I8" s="111"/>
      <c r="J8" s="111"/>
      <c r="K8" s="112"/>
      <c r="L8" s="1"/>
    </row>
    <row r="9" spans="1:12" ht="39.75" customHeight="1" x14ac:dyDescent="0.25">
      <c r="A9" s="1"/>
      <c r="B9" s="47" t="s">
        <v>0</v>
      </c>
      <c r="C9" s="16" t="s">
        <v>1</v>
      </c>
      <c r="D9" s="126" t="s">
        <v>111</v>
      </c>
      <c r="E9" s="127"/>
      <c r="F9" s="126" t="s">
        <v>2</v>
      </c>
      <c r="G9" s="127"/>
      <c r="H9" s="126" t="s">
        <v>112</v>
      </c>
      <c r="I9" s="127"/>
      <c r="J9" s="126" t="s">
        <v>23</v>
      </c>
      <c r="K9" s="127"/>
      <c r="L9" s="1"/>
    </row>
    <row r="10" spans="1:12" x14ac:dyDescent="0.25">
      <c r="A10" s="1"/>
      <c r="B10" s="62" t="s">
        <v>140</v>
      </c>
      <c r="C10" s="29">
        <v>0</v>
      </c>
      <c r="D10" s="8">
        <v>0</v>
      </c>
      <c r="E10" s="12" t="s">
        <v>3</v>
      </c>
      <c r="F10" s="8">
        <f>IFERROR(D10/C10,0)</f>
        <v>0</v>
      </c>
      <c r="G10" s="12" t="s">
        <v>3</v>
      </c>
      <c r="H10" s="8">
        <v>0</v>
      </c>
      <c r="I10" s="12" t="s">
        <v>3</v>
      </c>
      <c r="J10" s="8">
        <v>0</v>
      </c>
      <c r="K10" s="12" t="s">
        <v>3</v>
      </c>
      <c r="L10" s="1"/>
    </row>
    <row r="11" spans="1:12" x14ac:dyDescent="0.25">
      <c r="A11" s="1"/>
      <c r="B11" s="63" t="s">
        <v>102</v>
      </c>
      <c r="C11" s="64"/>
      <c r="D11" s="65"/>
      <c r="E11" s="6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1"/>
  <sheetViews>
    <sheetView showGridLines="0" view="pageLayout" topLeftCell="A4" zoomScaleNormal="100" workbookViewId="0">
      <selection activeCell="E13" sqref="E13"/>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115</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58" t="s">
        <v>15</v>
      </c>
      <c r="C9" s="58" t="s">
        <v>10</v>
      </c>
      <c r="D9" s="59"/>
      <c r="E9" s="58" t="s">
        <v>24</v>
      </c>
      <c r="F9" s="71"/>
      <c r="G9" s="1"/>
    </row>
    <row r="10" spans="1:7" x14ac:dyDescent="0.25">
      <c r="A10" s="1"/>
      <c r="B10" s="20" t="s">
        <v>136</v>
      </c>
      <c r="C10" s="19">
        <f>'Fane 7. Anlægsprojekter (§ 19)'!H11</f>
        <v>0</v>
      </c>
      <c r="D10" s="12" t="s">
        <v>3</v>
      </c>
      <c r="E10" s="8">
        <f>SUM('Fane 7. Anlægsprojekter (§ 19)'!F11,'Fane 7. Anlægsprojekter (§ 19)'!J11)</f>
        <v>0</v>
      </c>
      <c r="F10" s="12" t="s">
        <v>3</v>
      </c>
      <c r="G10" s="1"/>
    </row>
    <row r="11" spans="1:7" x14ac:dyDescent="0.25">
      <c r="A11" s="1"/>
      <c r="B11" s="20" t="s">
        <v>135</v>
      </c>
      <c r="C11" s="19">
        <v>2314</v>
      </c>
      <c r="D11" s="12" t="s">
        <v>3</v>
      </c>
      <c r="E11" s="8">
        <v>7742</v>
      </c>
      <c r="F11" s="12" t="s">
        <v>3</v>
      </c>
      <c r="G11" s="1"/>
    </row>
    <row r="12" spans="1:7" x14ac:dyDescent="0.25">
      <c r="A12" s="1"/>
      <c r="B12" s="20" t="s">
        <v>139</v>
      </c>
      <c r="C12" s="19">
        <v>76392</v>
      </c>
      <c r="D12" s="12" t="s">
        <v>3</v>
      </c>
      <c r="E12" s="8">
        <v>0</v>
      </c>
      <c r="F12" s="12" t="s">
        <v>3</v>
      </c>
      <c r="G12" s="1"/>
    </row>
    <row r="13" spans="1:7" x14ac:dyDescent="0.25">
      <c r="A13" s="1"/>
      <c r="B13" s="20" t="s">
        <v>156</v>
      </c>
      <c r="C13" s="19">
        <v>184476.16635312137</v>
      </c>
      <c r="D13" s="12" t="s">
        <v>3</v>
      </c>
      <c r="E13" s="8">
        <v>101094.12900120835</v>
      </c>
      <c r="F13" s="12" t="s">
        <v>3</v>
      </c>
      <c r="G13" s="1"/>
    </row>
    <row r="14" spans="1:7" x14ac:dyDescent="0.25">
      <c r="A14" s="1"/>
      <c r="B14" s="72" t="s">
        <v>67</v>
      </c>
      <c r="C14" s="10">
        <f>SUM(C10:C13)</f>
        <v>263182.1663531214</v>
      </c>
      <c r="D14" s="11" t="s">
        <v>3</v>
      </c>
      <c r="E14" s="10">
        <f>SUM(E10:E13)</f>
        <v>108836.12900120835</v>
      </c>
      <c r="F14" s="11" t="s">
        <v>3</v>
      </c>
      <c r="G14" s="1"/>
    </row>
    <row r="15" spans="1:7" x14ac:dyDescent="0.25">
      <c r="A15" s="1"/>
      <c r="B15" s="72" t="s">
        <v>98</v>
      </c>
      <c r="C15" s="10">
        <f>C14*(1+'Fane 11. Nøgletal'!C15)</f>
        <v>272551.45147529256</v>
      </c>
      <c r="D15" s="11" t="s">
        <v>3</v>
      </c>
      <c r="E15" s="10">
        <f>E14*(1+'Fane 11. Nøgletal'!C15)</f>
        <v>112710.69519365138</v>
      </c>
      <c r="F15" s="11"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B51" s="1"/>
      <c r="C51" s="1"/>
      <c r="D51" s="1"/>
      <c r="E51" s="1"/>
      <c r="F51" s="1"/>
    </row>
  </sheetData>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116</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10" t="s">
        <v>42</v>
      </c>
      <c r="C7" s="111"/>
      <c r="D7" s="111"/>
      <c r="E7" s="111"/>
      <c r="F7" s="112"/>
      <c r="G7" s="1"/>
    </row>
    <row r="8" spans="1:7" x14ac:dyDescent="0.25">
      <c r="A8" s="1"/>
      <c r="B8" s="58" t="s">
        <v>15</v>
      </c>
      <c r="C8" s="58" t="s">
        <v>10</v>
      </c>
      <c r="D8" s="59"/>
      <c r="E8" s="58" t="s">
        <v>24</v>
      </c>
      <c r="F8" s="71"/>
      <c r="G8" s="1"/>
    </row>
    <row r="9" spans="1:7" x14ac:dyDescent="0.25">
      <c r="A9" s="1"/>
      <c r="B9" s="20" t="s">
        <v>149</v>
      </c>
      <c r="C9" s="19">
        <v>0</v>
      </c>
      <c r="D9" s="12" t="s">
        <v>3</v>
      </c>
      <c r="E9" s="19">
        <v>0</v>
      </c>
      <c r="F9" s="12" t="s">
        <v>3</v>
      </c>
      <c r="G9" s="1"/>
    </row>
    <row r="10" spans="1:7" x14ac:dyDescent="0.25">
      <c r="A10" s="1"/>
      <c r="B10" s="72" t="s">
        <v>107</v>
      </c>
      <c r="C10" s="10">
        <f>SUM(C9:C9)</f>
        <v>0</v>
      </c>
      <c r="D10" s="11" t="s">
        <v>3</v>
      </c>
      <c r="E10" s="10">
        <f>SUM(E9:E9)</f>
        <v>0</v>
      </c>
      <c r="F10" s="11" t="s">
        <v>3</v>
      </c>
      <c r="G10" s="1"/>
    </row>
    <row r="11" spans="1:7" x14ac:dyDescent="0.25">
      <c r="A11" s="1"/>
      <c r="B11" s="72"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8"/>
      <c r="C13" s="128"/>
      <c r="D13" s="128"/>
      <c r="E13" s="128"/>
      <c r="F13" s="128"/>
      <c r="G13" s="1"/>
    </row>
    <row r="14" spans="1:7" x14ac:dyDescent="0.25">
      <c r="A14" s="1"/>
      <c r="B14" s="38"/>
      <c r="C14" s="38"/>
      <c r="D14" s="38"/>
      <c r="E14" s="38"/>
      <c r="F14" s="39"/>
      <c r="G14" s="1"/>
    </row>
    <row r="15" spans="1:7" x14ac:dyDescent="0.25">
      <c r="A15" s="1"/>
      <c r="B15" s="40"/>
      <c r="C15" s="41"/>
      <c r="D15" s="42"/>
      <c r="E15" s="41"/>
      <c r="F15" s="42"/>
      <c r="G15" s="1"/>
    </row>
    <row r="16" spans="1:7" x14ac:dyDescent="0.25">
      <c r="A16" s="1"/>
      <c r="B16" s="40"/>
      <c r="C16" s="41"/>
      <c r="D16" s="42"/>
      <c r="E16" s="41"/>
      <c r="F16" s="42"/>
      <c r="G16" s="1"/>
    </row>
    <row r="17" spans="1:7" x14ac:dyDescent="0.25">
      <c r="A17" s="1"/>
      <c r="B17" s="43"/>
      <c r="C17" s="44"/>
      <c r="D17" s="45"/>
      <c r="E17" s="44"/>
      <c r="F17" s="45"/>
      <c r="G17" s="1"/>
    </row>
    <row r="18" spans="1:7" x14ac:dyDescent="0.25">
      <c r="A18" s="1"/>
      <c r="B18" s="43"/>
      <c r="C18" s="44"/>
      <c r="D18" s="45"/>
      <c r="E18" s="44"/>
      <c r="F18" s="45"/>
      <c r="G18" s="1"/>
    </row>
    <row r="19" spans="1:7" x14ac:dyDescent="0.25">
      <c r="A19" s="1"/>
      <c r="B19" s="37"/>
      <c r="C19" s="37"/>
      <c r="D19" s="37"/>
      <c r="E19" s="37"/>
      <c r="F19" s="37"/>
      <c r="G19" s="1"/>
    </row>
    <row r="20" spans="1:7" x14ac:dyDescent="0.25">
      <c r="A20" s="1"/>
      <c r="B20" s="128"/>
      <c r="C20" s="128"/>
      <c r="D20" s="128"/>
      <c r="E20" s="128"/>
      <c r="F20" s="128"/>
      <c r="G20" s="1"/>
    </row>
    <row r="21" spans="1:7" x14ac:dyDescent="0.25">
      <c r="A21" s="1"/>
      <c r="B21" s="38"/>
      <c r="C21" s="38"/>
      <c r="D21" s="38"/>
      <c r="E21" s="38"/>
      <c r="F21" s="39"/>
      <c r="G21" s="1"/>
    </row>
    <row r="22" spans="1:7" x14ac:dyDescent="0.25">
      <c r="A22" s="1"/>
      <c r="B22" s="40"/>
      <c r="C22" s="41"/>
      <c r="D22" s="42"/>
      <c r="E22" s="41"/>
      <c r="F22" s="42"/>
      <c r="G22" s="1"/>
    </row>
    <row r="23" spans="1:7" x14ac:dyDescent="0.25">
      <c r="A23" s="1"/>
      <c r="B23" s="40"/>
      <c r="C23" s="41"/>
      <c r="D23" s="42"/>
      <c r="E23" s="41"/>
      <c r="F23" s="42"/>
      <c r="G23" s="1"/>
    </row>
    <row r="24" spans="1:7" x14ac:dyDescent="0.25">
      <c r="A24" s="1"/>
      <c r="B24" s="43"/>
      <c r="C24" s="44"/>
      <c r="D24" s="45"/>
      <c r="E24" s="44"/>
      <c r="F24" s="45"/>
      <c r="G24" s="1"/>
    </row>
    <row r="25" spans="1:7" x14ac:dyDescent="0.25">
      <c r="A25" s="1"/>
      <c r="B25" s="43"/>
      <c r="C25" s="44"/>
      <c r="D25" s="45"/>
      <c r="E25" s="44"/>
      <c r="F25" s="45"/>
      <c r="G25" s="1"/>
    </row>
    <row r="26" spans="1:7" x14ac:dyDescent="0.25">
      <c r="A26" s="1"/>
      <c r="B26" s="37"/>
      <c r="C26" s="37"/>
      <c r="D26" s="37"/>
      <c r="E26" s="37"/>
      <c r="F26" s="37"/>
      <c r="G26" s="1"/>
    </row>
    <row r="27" spans="1:7" x14ac:dyDescent="0.25">
      <c r="A27" s="1"/>
      <c r="B27" s="128"/>
      <c r="C27" s="128"/>
      <c r="D27" s="128"/>
      <c r="E27" s="128"/>
      <c r="F27" s="128"/>
      <c r="G27" s="1"/>
    </row>
    <row r="28" spans="1:7" x14ac:dyDescent="0.25">
      <c r="A28" s="1"/>
      <c r="B28" s="38"/>
      <c r="C28" s="38"/>
      <c r="D28" s="38"/>
      <c r="E28" s="38"/>
      <c r="F28" s="39"/>
      <c r="G28" s="1"/>
    </row>
    <row r="29" spans="1:7" x14ac:dyDescent="0.25">
      <c r="A29" s="1"/>
      <c r="B29" s="40"/>
      <c r="C29" s="41"/>
      <c r="D29" s="42"/>
      <c r="E29" s="41"/>
      <c r="F29" s="42"/>
      <c r="G29" s="1"/>
    </row>
    <row r="30" spans="1:7" x14ac:dyDescent="0.25">
      <c r="A30" s="1"/>
      <c r="B30" s="40"/>
      <c r="C30" s="41"/>
      <c r="D30" s="42"/>
      <c r="E30" s="41"/>
      <c r="F30" s="42"/>
      <c r="G30" s="1"/>
    </row>
    <row r="31" spans="1:7" x14ac:dyDescent="0.25">
      <c r="A31" s="1"/>
      <c r="B31" s="43"/>
      <c r="C31" s="44"/>
      <c r="D31" s="45"/>
      <c r="E31" s="44"/>
      <c r="F31" s="45"/>
      <c r="G31" s="1"/>
    </row>
    <row r="32" spans="1:7" x14ac:dyDescent="0.25">
      <c r="A32" s="1"/>
      <c r="B32" s="43"/>
      <c r="C32" s="44"/>
      <c r="D32" s="45"/>
      <c r="E32" s="44"/>
      <c r="F32" s="45"/>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117</v>
      </c>
      <c r="C3" s="91"/>
      <c r="D3" s="91"/>
      <c r="E3" s="91"/>
      <c r="F3" s="91"/>
      <c r="G3" s="1"/>
    </row>
    <row r="4" spans="1:7" ht="25.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0" t="s">
        <v>58</v>
      </c>
      <c r="C8" s="111"/>
      <c r="D8" s="111"/>
      <c r="E8" s="111"/>
      <c r="F8" s="112"/>
      <c r="G8" s="1"/>
    </row>
    <row r="9" spans="1:7" ht="15" customHeight="1" x14ac:dyDescent="0.25">
      <c r="A9" s="1"/>
      <c r="B9" s="70" t="s">
        <v>61</v>
      </c>
      <c r="C9" s="129" t="s">
        <v>10</v>
      </c>
      <c r="D9" s="130"/>
      <c r="E9" s="129" t="s">
        <v>24</v>
      </c>
      <c r="F9" s="130"/>
      <c r="G9" s="1"/>
    </row>
    <row r="10" spans="1:7" x14ac:dyDescent="0.25">
      <c r="A10" s="1"/>
      <c r="B10" s="20" t="s">
        <v>137</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118</v>
      </c>
      <c r="C3" s="91"/>
      <c r="D3" s="91"/>
      <c r="E3" s="91"/>
      <c r="F3" s="91"/>
      <c r="G3" s="1"/>
    </row>
    <row r="4" spans="1:7" ht="25.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0" t="s">
        <v>40</v>
      </c>
      <c r="C9" s="111"/>
      <c r="D9" s="111"/>
      <c r="E9" s="111"/>
      <c r="F9" s="112"/>
      <c r="G9" s="1"/>
    </row>
    <row r="10" spans="1:7" ht="26.25" x14ac:dyDescent="0.25">
      <c r="A10" s="1"/>
      <c r="B10" s="70" t="s">
        <v>16</v>
      </c>
      <c r="C10" s="70" t="s">
        <v>10</v>
      </c>
      <c r="D10" s="71"/>
      <c r="E10" s="70" t="s">
        <v>24</v>
      </c>
      <c r="F10" s="71"/>
      <c r="G10" s="1"/>
    </row>
    <row r="11" spans="1:7" x14ac:dyDescent="0.25">
      <c r="A11" s="1"/>
      <c r="B11" s="20" t="s">
        <v>138</v>
      </c>
      <c r="C11" s="8">
        <v>0</v>
      </c>
      <c r="D11" s="12" t="s">
        <v>3</v>
      </c>
      <c r="E11" s="8">
        <v>0</v>
      </c>
      <c r="F11" s="12" t="s">
        <v>3</v>
      </c>
      <c r="G11" s="1"/>
    </row>
    <row r="12" spans="1:7" x14ac:dyDescent="0.25">
      <c r="A12" s="1"/>
      <c r="B12" s="72" t="s">
        <v>104</v>
      </c>
      <c r="C12" s="10">
        <f>SUM(C11:C11)</f>
        <v>0</v>
      </c>
      <c r="D12" s="11" t="s">
        <v>3</v>
      </c>
      <c r="E12" s="10">
        <f>SUM(E11:E11)</f>
        <v>0</v>
      </c>
      <c r="F12" s="11" t="s">
        <v>3</v>
      </c>
      <c r="G12" s="1"/>
    </row>
    <row r="13" spans="1:7" x14ac:dyDescent="0.25">
      <c r="A13" s="1"/>
      <c r="B13" s="72"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8"/>
      <c r="C15" s="128"/>
      <c r="D15" s="128"/>
      <c r="E15" s="128"/>
      <c r="F15" s="128"/>
      <c r="G15" s="1"/>
    </row>
    <row r="16" spans="1:7" x14ac:dyDescent="0.25">
      <c r="A16" s="1"/>
      <c r="B16" s="39"/>
      <c r="C16" s="39"/>
      <c r="D16" s="39"/>
      <c r="E16" s="39"/>
      <c r="F16" s="39"/>
      <c r="G16" s="1"/>
    </row>
    <row r="17" spans="1:7" x14ac:dyDescent="0.25">
      <c r="A17" s="1"/>
      <c r="B17" s="40"/>
      <c r="C17" s="46"/>
      <c r="D17" s="42"/>
      <c r="E17" s="46"/>
      <c r="F17" s="42"/>
      <c r="G17" s="1"/>
    </row>
    <row r="18" spans="1:7" x14ac:dyDescent="0.25">
      <c r="A18" s="1"/>
      <c r="B18" s="43"/>
      <c r="C18" s="44"/>
      <c r="D18" s="45"/>
      <c r="E18" s="44"/>
      <c r="F18" s="45"/>
      <c r="G18" s="1"/>
    </row>
    <row r="19" spans="1:7" x14ac:dyDescent="0.25">
      <c r="A19" s="1"/>
      <c r="B19" s="43"/>
      <c r="C19" s="44"/>
      <c r="D19" s="45"/>
      <c r="E19" s="44"/>
      <c r="F19" s="45"/>
      <c r="G19" s="1"/>
    </row>
    <row r="20" spans="1:7" x14ac:dyDescent="0.25">
      <c r="A20" s="1"/>
      <c r="B20" s="37"/>
      <c r="C20" s="37"/>
      <c r="D20" s="37"/>
      <c r="E20" s="37"/>
      <c r="F20" s="37"/>
      <c r="G20" s="1"/>
    </row>
    <row r="21" spans="1:7" x14ac:dyDescent="0.25">
      <c r="A21" s="1"/>
      <c r="B21" s="128"/>
      <c r="C21" s="128"/>
      <c r="D21" s="128"/>
      <c r="E21" s="128"/>
      <c r="F21" s="128"/>
      <c r="G21" s="1"/>
    </row>
    <row r="22" spans="1:7" x14ac:dyDescent="0.25">
      <c r="A22" s="1"/>
      <c r="B22" s="39"/>
      <c r="C22" s="39"/>
      <c r="D22" s="39"/>
      <c r="E22" s="39"/>
      <c r="F22" s="39"/>
      <c r="G22" s="1"/>
    </row>
    <row r="23" spans="1:7" x14ac:dyDescent="0.25">
      <c r="A23" s="1"/>
      <c r="B23" s="40"/>
      <c r="C23" s="46"/>
      <c r="D23" s="42"/>
      <c r="E23" s="46"/>
      <c r="F23" s="42"/>
      <c r="G23" s="1"/>
    </row>
    <row r="24" spans="1:7" x14ac:dyDescent="0.25">
      <c r="A24" s="1"/>
      <c r="B24" s="43"/>
      <c r="C24" s="44"/>
      <c r="D24" s="45"/>
      <c r="E24" s="44"/>
      <c r="F24" s="45"/>
      <c r="G24" s="1"/>
    </row>
    <row r="25" spans="1:7" x14ac:dyDescent="0.25">
      <c r="A25" s="1"/>
      <c r="B25" s="43"/>
      <c r="C25" s="44"/>
      <c r="D25" s="45"/>
      <c r="E25" s="44"/>
      <c r="F25" s="45"/>
      <c r="G25" s="1"/>
    </row>
    <row r="26" spans="1:7" x14ac:dyDescent="0.25">
      <c r="A26" s="1"/>
      <c r="B26" s="37"/>
      <c r="C26" s="37"/>
      <c r="D26" s="37"/>
      <c r="E26" s="37"/>
      <c r="F26" s="37"/>
      <c r="G26" s="1"/>
    </row>
    <row r="27" spans="1:7" x14ac:dyDescent="0.25">
      <c r="A27" s="1"/>
      <c r="B27" s="128"/>
      <c r="C27" s="128"/>
      <c r="D27" s="128"/>
      <c r="E27" s="128"/>
      <c r="F27" s="128"/>
      <c r="G27" s="1"/>
    </row>
    <row r="28" spans="1:7" x14ac:dyDescent="0.25">
      <c r="A28" s="1"/>
      <c r="B28" s="39"/>
      <c r="C28" s="39"/>
      <c r="D28" s="39"/>
      <c r="E28" s="39"/>
      <c r="F28" s="39"/>
      <c r="G28" s="1"/>
    </row>
    <row r="29" spans="1:7" x14ac:dyDescent="0.25">
      <c r="A29" s="1"/>
      <c r="B29" s="40"/>
      <c r="C29" s="46"/>
      <c r="D29" s="42"/>
      <c r="E29" s="46"/>
      <c r="F29" s="42"/>
      <c r="G29" s="1"/>
    </row>
    <row r="30" spans="1:7" x14ac:dyDescent="0.25">
      <c r="A30" s="1"/>
      <c r="B30" s="43"/>
      <c r="C30" s="44"/>
      <c r="D30" s="45"/>
      <c r="E30" s="44"/>
      <c r="F30" s="45"/>
      <c r="G30" s="1"/>
    </row>
    <row r="31" spans="1:7" x14ac:dyDescent="0.25">
      <c r="A31" s="1"/>
      <c r="B31" s="43"/>
      <c r="C31" s="44"/>
      <c r="D31" s="45"/>
      <c r="E31" s="44"/>
      <c r="F31" s="4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1" t="s">
        <v>119</v>
      </c>
      <c r="C3" s="91"/>
      <c r="D3" s="1"/>
    </row>
    <row r="4" spans="1:4" ht="25.5" customHeight="1" x14ac:dyDescent="0.25">
      <c r="A4" s="1"/>
      <c r="B4" s="91"/>
      <c r="C4" s="9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2"/>
      <c r="C16" s="73"/>
      <c r="D16" s="1"/>
    </row>
    <row r="17" spans="1:4" x14ac:dyDescent="0.25">
      <c r="A17" s="1"/>
      <c r="B17" s="1"/>
      <c r="C17" s="1"/>
      <c r="D17" s="1"/>
    </row>
    <row r="18" spans="1:4" x14ac:dyDescent="0.25">
      <c r="A18" s="1"/>
      <c r="B18" s="1"/>
      <c r="C18" s="1"/>
      <c r="D18" s="1"/>
    </row>
    <row r="19" spans="1:4" x14ac:dyDescent="0.25">
      <c r="A19" s="1"/>
      <c r="B19" s="72" t="s">
        <v>44</v>
      </c>
      <c r="C19" s="73"/>
      <c r="D19" s="1"/>
    </row>
    <row r="20" spans="1:4" x14ac:dyDescent="0.25">
      <c r="A20" s="1"/>
      <c r="B20" s="23" t="s">
        <v>48</v>
      </c>
      <c r="C20" s="21">
        <v>1.7000000000000001E-2</v>
      </c>
      <c r="D20" s="1"/>
    </row>
    <row r="21" spans="1:4" x14ac:dyDescent="0.25">
      <c r="A21" s="1"/>
      <c r="B21" s="131"/>
      <c r="C21" s="132"/>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tabSelected="1" view="pageLayout" zoomScaleNormal="100" workbookViewId="0">
      <selection activeCell="L10" sqref="L10"/>
    </sheetView>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82</v>
      </c>
      <c r="C3" s="89"/>
      <c r="D3" s="89"/>
      <c r="E3" s="89"/>
      <c r="F3" s="89"/>
      <c r="G3" s="1"/>
    </row>
    <row r="4" spans="1:7" ht="1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12</v>
      </c>
      <c r="C8" s="53"/>
      <c r="D8" s="53"/>
      <c r="E8" s="53"/>
      <c r="F8" s="53"/>
      <c r="G8" s="1"/>
    </row>
    <row r="9" spans="1:7" x14ac:dyDescent="0.25">
      <c r="A9" s="1"/>
      <c r="B9" s="61" t="s">
        <v>55</v>
      </c>
      <c r="C9" s="61"/>
      <c r="D9" s="61"/>
      <c r="E9" s="7">
        <f>'Fane 3. Omkostninger i ØR2022'!E16</f>
        <v>3445483.7235701424</v>
      </c>
      <c r="F9" s="61" t="s">
        <v>3</v>
      </c>
      <c r="G9" s="1"/>
    </row>
    <row r="10" spans="1:7" ht="17.100000000000001" customHeight="1" x14ac:dyDescent="0.25">
      <c r="A10" s="1"/>
      <c r="B10" s="24" t="s">
        <v>50</v>
      </c>
      <c r="C10" s="61"/>
      <c r="D10" s="61"/>
      <c r="E10" s="7">
        <f>'Fane 8.1. Varige tillæg'!C15+'Fane 8.1. Varige tillæg'!E15</f>
        <v>385262.14666894393</v>
      </c>
      <c r="F10" s="61" t="s">
        <v>3</v>
      </c>
      <c r="G10" s="1"/>
    </row>
    <row r="11" spans="1:7" ht="17.100000000000001" customHeight="1" x14ac:dyDescent="0.25">
      <c r="A11" s="1"/>
      <c r="B11" s="24" t="s">
        <v>52</v>
      </c>
      <c r="C11" s="61"/>
      <c r="D11" s="61"/>
      <c r="E11" s="8">
        <f>-('Fane 10. Bortfald'!C13+'Fane 10. Bortfald'!E13)</f>
        <v>0</v>
      </c>
      <c r="F11" s="61" t="s">
        <v>3</v>
      </c>
      <c r="G11" s="1"/>
    </row>
    <row r="12" spans="1:7" ht="17.100000000000001" customHeight="1" x14ac:dyDescent="0.25">
      <c r="A12" s="1"/>
      <c r="B12" s="24" t="s">
        <v>54</v>
      </c>
      <c r="C12" s="61"/>
      <c r="D12" s="61"/>
      <c r="E12" s="8">
        <f>'Fane 9. Tilknyttet virksomhed'!C12+'Fane 9. Tilknyttet virksomhed'!E12</f>
        <v>0</v>
      </c>
      <c r="F12" s="61" t="s">
        <v>3</v>
      </c>
      <c r="G12" s="1"/>
    </row>
    <row r="13" spans="1:7" ht="17.100000000000001" customHeight="1" x14ac:dyDescent="0.25">
      <c r="A13" s="1"/>
      <c r="B13" s="24" t="s">
        <v>17</v>
      </c>
      <c r="C13" s="61"/>
      <c r="D13" s="61"/>
      <c r="E13" s="8">
        <f>SUM(E9:E12)*'Fane 11. Nøgletal'!C15</f>
        <v>136374.55298051148</v>
      </c>
      <c r="F13" s="61" t="s">
        <v>3</v>
      </c>
      <c r="G13" s="1"/>
    </row>
    <row r="14" spans="1:7" ht="17.100000000000001" customHeight="1" x14ac:dyDescent="0.25">
      <c r="A14" s="1"/>
      <c r="B14" s="24" t="s">
        <v>44</v>
      </c>
      <c r="C14" s="61"/>
      <c r="D14" s="61"/>
      <c r="E14" s="8">
        <f>-SUM(E9,E10:E13)*'Fane 11. Nøgletal'!C20</f>
        <v>-67441.047194733168</v>
      </c>
      <c r="F14" s="61" t="s">
        <v>3</v>
      </c>
      <c r="G14" s="1"/>
    </row>
    <row r="15" spans="1:7" ht="15" customHeight="1" x14ac:dyDescent="0.25">
      <c r="A15" s="1"/>
      <c r="B15" s="66" t="s">
        <v>19</v>
      </c>
      <c r="C15" s="28"/>
      <c r="D15" s="28"/>
      <c r="E15" s="9">
        <f>SUM(E9,E10:E14)</f>
        <v>3899679.3760248646</v>
      </c>
      <c r="F15" s="54" t="s">
        <v>3</v>
      </c>
      <c r="G15" s="1"/>
    </row>
    <row r="16" spans="1:7" ht="15" customHeight="1" x14ac:dyDescent="0.25">
      <c r="A16" s="1"/>
      <c r="B16" s="53" t="s">
        <v>11</v>
      </c>
      <c r="C16" s="53"/>
      <c r="D16" s="53"/>
      <c r="E16" s="53"/>
      <c r="F16" s="53"/>
      <c r="G16" s="1"/>
    </row>
    <row r="17" spans="1:7" ht="15" customHeight="1" x14ac:dyDescent="0.25">
      <c r="A17" s="1"/>
      <c r="B17" s="54" t="s">
        <v>11</v>
      </c>
      <c r="C17" s="54"/>
      <c r="D17" s="54"/>
      <c r="E17" s="9">
        <f>'Fane 4. Ikke-påvirkelige omk.'!C16</f>
        <v>2658905.854592104</v>
      </c>
      <c r="F17" s="54" t="s">
        <v>3</v>
      </c>
      <c r="G17" s="1"/>
    </row>
    <row r="18" spans="1:7" ht="15" customHeight="1" x14ac:dyDescent="0.25">
      <c r="A18" s="1"/>
      <c r="B18" s="53" t="s">
        <v>36</v>
      </c>
      <c r="C18" s="53"/>
      <c r="D18" s="53"/>
      <c r="E18" s="53"/>
      <c r="F18" s="53"/>
      <c r="G18" s="1"/>
    </row>
    <row r="19" spans="1:7" ht="15" customHeight="1" x14ac:dyDescent="0.25">
      <c r="A19" s="1"/>
      <c r="B19" s="24" t="s">
        <v>33</v>
      </c>
      <c r="C19" s="61"/>
      <c r="D19" s="61"/>
      <c r="E19" s="8">
        <f>'Fane 8.2. Engangstillæg'!C11</f>
        <v>0</v>
      </c>
      <c r="F19" s="61" t="s">
        <v>3</v>
      </c>
      <c r="G19" s="1"/>
    </row>
    <row r="20" spans="1:7" x14ac:dyDescent="0.25">
      <c r="A20" s="1"/>
      <c r="B20" s="24" t="s">
        <v>34</v>
      </c>
      <c r="C20" s="61"/>
      <c r="D20" s="61"/>
      <c r="E20" s="8">
        <f>'Fane 8.2. Engangstillæg'!E11</f>
        <v>0</v>
      </c>
      <c r="F20" s="61" t="s">
        <v>3</v>
      </c>
      <c r="G20" s="1"/>
    </row>
    <row r="21" spans="1:7" x14ac:dyDescent="0.25">
      <c r="A21" s="1"/>
      <c r="B21" s="24" t="s">
        <v>106</v>
      </c>
      <c r="C21" s="61"/>
      <c r="D21" s="61"/>
      <c r="E21" s="8">
        <f>-SUM(E19:E20)*'Fane 11. Nøgletal'!C20</f>
        <v>0</v>
      </c>
      <c r="F21" s="61" t="s">
        <v>3</v>
      </c>
      <c r="G21" s="1"/>
    </row>
    <row r="22" spans="1:7" ht="15" customHeight="1" x14ac:dyDescent="0.25">
      <c r="A22" s="1"/>
      <c r="B22" s="66" t="s">
        <v>37</v>
      </c>
      <c r="C22" s="28"/>
      <c r="D22" s="28"/>
      <c r="E22" s="9">
        <f>SUM(E19:E21)</f>
        <v>0</v>
      </c>
      <c r="F22" s="54" t="s">
        <v>3</v>
      </c>
      <c r="G22" s="1"/>
    </row>
    <row r="23" spans="1:7" x14ac:dyDescent="0.25">
      <c r="A23" s="1"/>
      <c r="B23" s="53" t="s">
        <v>62</v>
      </c>
      <c r="C23" s="53"/>
      <c r="D23" s="53"/>
      <c r="E23" s="53"/>
      <c r="F23" s="53"/>
      <c r="G23" s="1"/>
    </row>
    <row r="24" spans="1:7" x14ac:dyDescent="0.25">
      <c r="A24" s="1"/>
      <c r="B24" s="66" t="s">
        <v>63</v>
      </c>
      <c r="C24" s="31"/>
      <c r="D24" s="31"/>
      <c r="E24" s="9">
        <f>'Fane 5. Kontrol af ØR2021'!E30</f>
        <v>-328108.12127413769</v>
      </c>
      <c r="F24" s="54" t="s">
        <v>3</v>
      </c>
      <c r="G24" s="1"/>
    </row>
    <row r="25" spans="1:7" x14ac:dyDescent="0.25">
      <c r="A25" s="1"/>
      <c r="B25" s="53" t="s">
        <v>75</v>
      </c>
      <c r="C25" s="53"/>
      <c r="D25" s="53"/>
      <c r="E25" s="53"/>
      <c r="F25" s="53"/>
      <c r="G25" s="1"/>
    </row>
    <row r="26" spans="1:7" x14ac:dyDescent="0.25">
      <c r="A26" s="1"/>
      <c r="B26" s="54" t="s">
        <v>76</v>
      </c>
      <c r="C26" s="54"/>
      <c r="D26" s="54"/>
      <c r="E26" s="9">
        <f>'Fane 6. Skattesagen'!G12</f>
        <v>0</v>
      </c>
      <c r="F26" s="54" t="s">
        <v>3</v>
      </c>
      <c r="G26" s="1"/>
    </row>
    <row r="27" spans="1:7" x14ac:dyDescent="0.25">
      <c r="A27" s="1"/>
      <c r="B27" s="53" t="s">
        <v>39</v>
      </c>
      <c r="C27" s="53"/>
      <c r="D27" s="53"/>
      <c r="E27" s="10">
        <f>SUM(E15:E17:E22:E24:E26)</f>
        <v>6230477.1093428303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44"/>
  <sheetViews>
    <sheetView showGridLines="0" view="pageLayout" zoomScaleNormal="100" workbookViewId="0">
      <selection activeCell="E8" sqref="E8:E18"/>
    </sheetView>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83</v>
      </c>
      <c r="C3" s="89"/>
      <c r="D3" s="89"/>
      <c r="E3" s="89"/>
      <c r="F3" s="89"/>
      <c r="G3" s="1"/>
    </row>
    <row r="4" spans="1:7" ht="15" customHeight="1" x14ac:dyDescent="0.25">
      <c r="A4" s="1"/>
      <c r="B4" s="89"/>
      <c r="C4" s="89"/>
      <c r="D4" s="89"/>
      <c r="E4" s="89"/>
      <c r="F4" s="89"/>
      <c r="G4" s="1"/>
    </row>
    <row r="5" spans="1:7" x14ac:dyDescent="0.25">
      <c r="A5" s="1"/>
      <c r="B5" s="90"/>
      <c r="C5" s="90"/>
      <c r="D5" s="90"/>
      <c r="E5" s="90"/>
      <c r="F5" s="90"/>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61" t="s">
        <v>56</v>
      </c>
      <c r="C8" s="61"/>
      <c r="D8" s="61"/>
      <c r="E8" s="7">
        <f>'Fane 2.1. Økonomisk ramme 2023'!E15</f>
        <v>3899679.3760248646</v>
      </c>
      <c r="F8" s="61" t="s">
        <v>3</v>
      </c>
      <c r="G8" s="1"/>
    </row>
    <row r="9" spans="1:7" ht="15" customHeight="1" x14ac:dyDescent="0.25">
      <c r="A9" s="1"/>
      <c r="B9" s="52" t="s">
        <v>17</v>
      </c>
      <c r="C9" s="61"/>
      <c r="D9" s="61"/>
      <c r="E9" s="8">
        <f>SUM(E8:E8)*'Fane 11. Nøgletal'!C15</f>
        <v>138828.58578648517</v>
      </c>
      <c r="F9" s="61" t="s">
        <v>3</v>
      </c>
      <c r="G9" s="1"/>
    </row>
    <row r="10" spans="1:7" ht="15" customHeight="1" x14ac:dyDescent="0.25">
      <c r="A10" s="1"/>
      <c r="B10" s="52" t="s">
        <v>44</v>
      </c>
      <c r="C10" s="61"/>
      <c r="D10" s="61"/>
      <c r="E10" s="8">
        <f>-SUM(E8:E9)*'Fane 11. Nøgletal'!C20</f>
        <v>-68654.635350792945</v>
      </c>
      <c r="F10" s="61" t="s">
        <v>3</v>
      </c>
      <c r="G10" s="1"/>
    </row>
    <row r="11" spans="1:7" ht="15" customHeight="1" x14ac:dyDescent="0.25">
      <c r="A11" s="1"/>
      <c r="B11" s="28" t="s">
        <v>19</v>
      </c>
      <c r="C11" s="28"/>
      <c r="D11" s="28"/>
      <c r="E11" s="9">
        <f>SUM(E8:E10)</f>
        <v>3969853.3264605566</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omk.'!C16*(1+'Fane 11. Nøgletal'!C15)</f>
        <v>2753562.9030155833</v>
      </c>
      <c r="F13" s="54" t="s">
        <v>3</v>
      </c>
      <c r="G13" s="1"/>
    </row>
    <row r="14" spans="1:7" x14ac:dyDescent="0.25">
      <c r="A14" s="1"/>
      <c r="B14" s="53" t="s">
        <v>62</v>
      </c>
      <c r="C14" s="53"/>
      <c r="D14" s="53"/>
      <c r="E14" s="53"/>
      <c r="F14" s="53"/>
      <c r="G14" s="1"/>
    </row>
    <row r="15" spans="1:7" x14ac:dyDescent="0.25">
      <c r="A15" s="1"/>
      <c r="B15" s="54" t="s">
        <v>77</v>
      </c>
      <c r="C15" s="32"/>
      <c r="D15" s="32"/>
      <c r="E15" s="9">
        <f>'Fane 5. Kontrol af ØR2021'!E30</f>
        <v>-328108.12127413769</v>
      </c>
      <c r="F15" s="54" t="s">
        <v>3</v>
      </c>
      <c r="G15" s="1"/>
    </row>
    <row r="16" spans="1:7" x14ac:dyDescent="0.25">
      <c r="A16" s="1"/>
      <c r="B16" s="53" t="s">
        <v>75</v>
      </c>
      <c r="C16" s="53"/>
      <c r="D16" s="53"/>
      <c r="E16" s="53"/>
      <c r="F16" s="53"/>
      <c r="G16" s="1"/>
    </row>
    <row r="17" spans="1:7" x14ac:dyDescent="0.25">
      <c r="A17" s="1"/>
      <c r="B17" s="54" t="s">
        <v>76</v>
      </c>
      <c r="C17" s="54"/>
      <c r="D17" s="54"/>
      <c r="E17" s="9">
        <f>'Fane 6. Skattesagen'!G13</f>
        <v>0</v>
      </c>
      <c r="F17" s="54" t="s">
        <v>3</v>
      </c>
      <c r="G17" s="1"/>
    </row>
    <row r="18" spans="1:7" x14ac:dyDescent="0.25">
      <c r="A18" s="1"/>
      <c r="B18" s="53" t="s">
        <v>57</v>
      </c>
      <c r="C18" s="53"/>
      <c r="D18" s="53"/>
      <c r="E18" s="10">
        <f>SUM(E11,E13,E15,E17)</f>
        <v>6395308.108202002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48"/>
  <sheetViews>
    <sheetView showGridLines="0" view="pageLayout" zoomScaleNormal="100" workbookViewId="0">
      <selection activeCell="E8" sqref="E8:E18"/>
    </sheetView>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84</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61" t="s">
        <v>65</v>
      </c>
      <c r="C8" s="61"/>
      <c r="D8" s="61"/>
      <c r="E8" s="7">
        <f>'Fane 2.2. Økonomisk ramme 2024'!E11</f>
        <v>3969853.3264605566</v>
      </c>
      <c r="F8" s="61" t="s">
        <v>3</v>
      </c>
      <c r="G8" s="1"/>
    </row>
    <row r="9" spans="1:7" ht="15" customHeight="1" x14ac:dyDescent="0.25">
      <c r="A9" s="1"/>
      <c r="B9" s="52" t="s">
        <v>17</v>
      </c>
      <c r="C9" s="61"/>
      <c r="D9" s="61"/>
      <c r="E9" s="8">
        <f>SUM(E8:E8)*'Fane 11. Nøgletal'!C15</f>
        <v>141326.77842199581</v>
      </c>
      <c r="F9" s="61" t="s">
        <v>3</v>
      </c>
      <c r="G9" s="1"/>
    </row>
    <row r="10" spans="1:7" ht="15" customHeight="1" x14ac:dyDescent="0.25">
      <c r="A10" s="1"/>
      <c r="B10" s="52" t="s">
        <v>44</v>
      </c>
      <c r="C10" s="61"/>
      <c r="D10" s="61"/>
      <c r="E10" s="8">
        <f>-SUM(E8:E9)*'Fane 11. Nøgletal'!C20</f>
        <v>-69890.061783003388</v>
      </c>
      <c r="F10" s="61" t="s">
        <v>3</v>
      </c>
      <c r="G10" s="1"/>
    </row>
    <row r="11" spans="1:7" x14ac:dyDescent="0.25">
      <c r="A11" s="1"/>
      <c r="B11" s="28" t="s">
        <v>19</v>
      </c>
      <c r="C11" s="28"/>
      <c r="D11" s="28"/>
      <c r="E11" s="9">
        <f>SUM(E8:E10)</f>
        <v>4041290.0430995487</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omk.'!C16*(1+'Fane 11. Nøgletal'!C15)^2</f>
        <v>2851589.7423629379</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Skattesagen'!G14</f>
        <v>0</v>
      </c>
      <c r="F17" s="54" t="s">
        <v>3</v>
      </c>
      <c r="G17" s="1"/>
    </row>
    <row r="18" spans="1:7" x14ac:dyDescent="0.25">
      <c r="A18" s="1"/>
      <c r="B18" s="53" t="s">
        <v>66</v>
      </c>
      <c r="C18" s="53"/>
      <c r="D18" s="53"/>
      <c r="E18" s="10">
        <f>SUM(E11,E13,E15,E17)</f>
        <v>6892879.7854624866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48"/>
  <sheetViews>
    <sheetView showGridLines="0" view="pageLayout" zoomScaleNormal="100" workbookViewId="0">
      <selection activeCell="E8" sqref="E8:E18"/>
    </sheetView>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85</v>
      </c>
      <c r="C3" s="89"/>
      <c r="D3" s="89"/>
      <c r="E3" s="89"/>
      <c r="F3" s="89"/>
      <c r="G3" s="1"/>
    </row>
    <row r="4" spans="1:7" ht="15" customHeight="1" x14ac:dyDescent="0.25">
      <c r="A4" s="1"/>
      <c r="B4" s="89"/>
      <c r="C4" s="89"/>
      <c r="D4" s="89"/>
      <c r="E4" s="89"/>
      <c r="F4" s="89"/>
      <c r="G4" s="1"/>
    </row>
    <row r="5" spans="1:7" x14ac:dyDescent="0.25">
      <c r="A5" s="1"/>
      <c r="B5" s="90" t="s">
        <v>20</v>
      </c>
      <c r="C5" s="90"/>
      <c r="D5" s="90"/>
      <c r="E5" s="90"/>
      <c r="F5" s="90"/>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61" t="s">
        <v>86</v>
      </c>
      <c r="C8" s="61"/>
      <c r="D8" s="61"/>
      <c r="E8" s="7">
        <f>'Fane 2.3. Økonomisk ramme 2025'!E11</f>
        <v>4041290.0430995487</v>
      </c>
      <c r="F8" s="61" t="s">
        <v>3</v>
      </c>
      <c r="G8" s="1"/>
    </row>
    <row r="9" spans="1:7" ht="15" customHeight="1" x14ac:dyDescent="0.25">
      <c r="A9" s="1"/>
      <c r="B9" s="52" t="s">
        <v>17</v>
      </c>
      <c r="C9" s="61"/>
      <c r="D9" s="61"/>
      <c r="E9" s="8">
        <f>SUM(E8:E8)*'Fane 11. Nøgletal'!C15</f>
        <v>143869.92553434393</v>
      </c>
      <c r="F9" s="61" t="s">
        <v>3</v>
      </c>
      <c r="G9" s="1"/>
    </row>
    <row r="10" spans="1:7" ht="15" customHeight="1" x14ac:dyDescent="0.25">
      <c r="A10" s="1"/>
      <c r="B10" s="52" t="s">
        <v>44</v>
      </c>
      <c r="C10" s="61"/>
      <c r="D10" s="61"/>
      <c r="E10" s="8">
        <f>-SUM(E8:E9)*'Fane 11. Nøgletal'!C20</f>
        <v>-71147.71946677618</v>
      </c>
      <c r="F10" s="61" t="s">
        <v>3</v>
      </c>
      <c r="G10" s="1"/>
    </row>
    <row r="11" spans="1:7" x14ac:dyDescent="0.25">
      <c r="A11" s="1"/>
      <c r="B11" s="28" t="s">
        <v>19</v>
      </c>
      <c r="C11" s="28"/>
      <c r="D11" s="28"/>
      <c r="E11" s="9">
        <f>SUM(E8:E10)</f>
        <v>4114012.2491671164</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omk.'!C16*(1+'Fane 11. Nøgletal'!C15)^3</f>
        <v>2953106.3371910588</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Skattesagen'!G15</f>
        <v>0</v>
      </c>
      <c r="F17" s="54" t="s">
        <v>3</v>
      </c>
      <c r="G17" s="1"/>
    </row>
    <row r="18" spans="1:7" x14ac:dyDescent="0.25">
      <c r="A18" s="1"/>
      <c r="B18" s="53" t="s">
        <v>87</v>
      </c>
      <c r="C18" s="53"/>
      <c r="D18" s="53"/>
      <c r="E18" s="10">
        <f>SUM(E11,E13,E15,E17)</f>
        <v>7067118.5863581747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88</v>
      </c>
      <c r="C3" s="91"/>
      <c r="D3" s="91"/>
      <c r="E3" s="91"/>
      <c r="F3" s="91"/>
      <c r="G3" s="1"/>
    </row>
    <row r="4" spans="1:7" ht="29.2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89</v>
      </c>
      <c r="C8" s="53"/>
      <c r="D8" s="53"/>
      <c r="E8" s="53"/>
      <c r="F8" s="53"/>
      <c r="G8" s="1"/>
    </row>
    <row r="9" spans="1:7" x14ac:dyDescent="0.25">
      <c r="A9" s="1"/>
      <c r="B9" s="92" t="s">
        <v>22</v>
      </c>
      <c r="C9" s="92"/>
      <c r="D9" s="92"/>
      <c r="E9" s="7">
        <v>3342110.5133592733</v>
      </c>
      <c r="F9" s="61" t="s">
        <v>3</v>
      </c>
      <c r="G9" s="1"/>
    </row>
    <row r="10" spans="1:7" x14ac:dyDescent="0.25">
      <c r="A10" s="1"/>
      <c r="B10" s="94" t="s">
        <v>103</v>
      </c>
      <c r="C10" s="95"/>
      <c r="D10" s="96"/>
      <c r="E10" s="7">
        <v>0</v>
      </c>
      <c r="F10" s="61" t="s">
        <v>3</v>
      </c>
      <c r="G10" s="1"/>
    </row>
    <row r="11" spans="1:7" x14ac:dyDescent="0.25">
      <c r="A11" s="1"/>
      <c r="B11" s="93" t="s">
        <v>50</v>
      </c>
      <c r="C11" s="93"/>
      <c r="D11" s="93"/>
      <c r="E11" s="7">
        <v>121783.7640318629</v>
      </c>
      <c r="F11" s="61" t="s">
        <v>3</v>
      </c>
      <c r="G11" s="1"/>
    </row>
    <row r="12" spans="1:7" x14ac:dyDescent="0.25">
      <c r="A12" s="1"/>
      <c r="B12" s="93" t="s">
        <v>54</v>
      </c>
      <c r="C12" s="93"/>
      <c r="D12" s="93"/>
      <c r="E12" s="7">
        <v>0</v>
      </c>
      <c r="F12" s="61" t="s">
        <v>3</v>
      </c>
      <c r="G12" s="1"/>
    </row>
    <row r="13" spans="1:7" x14ac:dyDescent="0.25">
      <c r="A13" s="1"/>
      <c r="B13" s="93" t="s">
        <v>51</v>
      </c>
      <c r="C13" s="93"/>
      <c r="D13" s="93"/>
      <c r="E13" s="8">
        <v>0</v>
      </c>
      <c r="F13" s="61" t="s">
        <v>3</v>
      </c>
      <c r="G13" s="1"/>
    </row>
    <row r="14" spans="1:7" x14ac:dyDescent="0.25">
      <c r="A14" s="1"/>
      <c r="B14" s="93" t="s">
        <v>17</v>
      </c>
      <c r="C14" s="93"/>
      <c r="D14" s="93"/>
      <c r="E14" s="8">
        <f>E9*'Fane 11. Nøgletal'!C13+SUM(E11:E13)*'Fane 11. Nøgletal'!C14</f>
        <v>41175.634684288285</v>
      </c>
      <c r="F14" s="61" t="s">
        <v>3</v>
      </c>
      <c r="G14" s="1"/>
    </row>
    <row r="15" spans="1:7" x14ac:dyDescent="0.25">
      <c r="A15" s="1"/>
      <c r="B15" s="93" t="s">
        <v>44</v>
      </c>
      <c r="C15" s="93"/>
      <c r="D15" s="93"/>
      <c r="E15" s="8">
        <f>-SUM(E9:E14)*'Fane 11. Nøgletal'!C20</f>
        <v>-59586.188505282225</v>
      </c>
      <c r="F15" s="61" t="s">
        <v>3</v>
      </c>
      <c r="G15" s="1"/>
    </row>
    <row r="16" spans="1:7" x14ac:dyDescent="0.25">
      <c r="A16" s="1"/>
      <c r="B16" s="98" t="s">
        <v>19</v>
      </c>
      <c r="C16" s="98"/>
      <c r="D16" s="98"/>
      <c r="E16" s="9">
        <f>SUM(E9:E15)</f>
        <v>3445483.7235701424</v>
      </c>
      <c r="F16" s="33" t="s">
        <v>3</v>
      </c>
      <c r="G16" s="1"/>
    </row>
    <row r="17" spans="1:7" x14ac:dyDescent="0.25">
      <c r="A17" s="1"/>
      <c r="B17" s="99" t="s">
        <v>11</v>
      </c>
      <c r="C17" s="99"/>
      <c r="D17" s="99"/>
      <c r="E17" s="53"/>
      <c r="F17" s="53"/>
      <c r="G17" s="1"/>
    </row>
    <row r="18" spans="1:7" x14ac:dyDescent="0.25">
      <c r="A18" s="1"/>
      <c r="B18" s="100" t="s">
        <v>11</v>
      </c>
      <c r="C18" s="100"/>
      <c r="D18" s="100"/>
      <c r="E18" s="9">
        <v>2343380.4481910206</v>
      </c>
      <c r="F18" s="54" t="s">
        <v>3</v>
      </c>
      <c r="G18" s="1"/>
    </row>
    <row r="19" spans="1:7" ht="15.4" customHeight="1" x14ac:dyDescent="0.25">
      <c r="A19" s="1"/>
      <c r="B19" s="53" t="s">
        <v>36</v>
      </c>
      <c r="C19" s="53"/>
      <c r="D19" s="53"/>
      <c r="E19" s="53"/>
      <c r="F19" s="53"/>
      <c r="G19" s="1"/>
    </row>
    <row r="20" spans="1:7" ht="15.75" customHeight="1" x14ac:dyDescent="0.25">
      <c r="A20" s="1"/>
      <c r="B20" s="101" t="s">
        <v>33</v>
      </c>
      <c r="C20" s="102"/>
      <c r="D20" s="103"/>
      <c r="E20" s="51">
        <v>0</v>
      </c>
      <c r="F20" s="27" t="s">
        <v>3</v>
      </c>
      <c r="G20" s="1"/>
    </row>
    <row r="21" spans="1:7" x14ac:dyDescent="0.25">
      <c r="A21" s="1"/>
      <c r="B21" s="101" t="s">
        <v>34</v>
      </c>
      <c r="C21" s="102"/>
      <c r="D21" s="103"/>
      <c r="E21" s="51">
        <v>0</v>
      </c>
      <c r="F21" s="27" t="s">
        <v>3</v>
      </c>
      <c r="G21" s="1"/>
    </row>
    <row r="22" spans="1:7" x14ac:dyDescent="0.25">
      <c r="A22" s="1"/>
      <c r="B22" s="104" t="s">
        <v>37</v>
      </c>
      <c r="C22" s="105"/>
      <c r="D22" s="106"/>
      <c r="E22" s="9">
        <f>SUM(E20:E21)</f>
        <v>0</v>
      </c>
      <c r="F22" s="9" t="s">
        <v>3</v>
      </c>
      <c r="G22" s="1"/>
    </row>
    <row r="23" spans="1:7" ht="15.75" customHeight="1" x14ac:dyDescent="0.25">
      <c r="A23" s="1"/>
      <c r="B23" s="53" t="s">
        <v>62</v>
      </c>
      <c r="C23" s="53"/>
      <c r="D23" s="53"/>
      <c r="E23" s="53"/>
      <c r="F23" s="53"/>
      <c r="G23" s="1"/>
    </row>
    <row r="24" spans="1:7" x14ac:dyDescent="0.25">
      <c r="A24" s="1"/>
      <c r="B24" s="66" t="s">
        <v>27</v>
      </c>
      <c r="C24" s="28"/>
      <c r="D24" s="28"/>
      <c r="E24" s="9">
        <v>286765.13091468182</v>
      </c>
      <c r="F24" s="54" t="s">
        <v>3</v>
      </c>
      <c r="G24" s="1"/>
    </row>
    <row r="25" spans="1:7" x14ac:dyDescent="0.25">
      <c r="A25" s="1"/>
      <c r="B25" s="66" t="s">
        <v>63</v>
      </c>
      <c r="C25" s="28"/>
      <c r="D25" s="28"/>
      <c r="E25" s="9">
        <v>0</v>
      </c>
      <c r="F25" s="54" t="s">
        <v>3</v>
      </c>
      <c r="G25" s="1"/>
    </row>
    <row r="26" spans="1:7" x14ac:dyDescent="0.25">
      <c r="A26" s="1"/>
      <c r="B26" s="53" t="s">
        <v>75</v>
      </c>
      <c r="C26" s="53"/>
      <c r="D26" s="53"/>
      <c r="E26" s="53"/>
      <c r="F26" s="53"/>
      <c r="G26" s="1"/>
    </row>
    <row r="27" spans="1:7" x14ac:dyDescent="0.25">
      <c r="A27" s="1"/>
      <c r="B27" s="107" t="s">
        <v>76</v>
      </c>
      <c r="C27" s="108"/>
      <c r="D27" s="109"/>
      <c r="E27" s="9">
        <f>'Fane 6. Skattesagen'!G11</f>
        <v>0</v>
      </c>
      <c r="F27" s="54" t="s">
        <v>3</v>
      </c>
      <c r="G27" s="1"/>
    </row>
    <row r="28" spans="1:7" ht="15" customHeight="1" x14ac:dyDescent="0.25">
      <c r="A28" s="1"/>
      <c r="B28" s="34" t="s">
        <v>150</v>
      </c>
      <c r="C28" s="34"/>
      <c r="D28" s="34"/>
      <c r="E28" s="35">
        <f>E16+E18+E22+E24+E25+E27</f>
        <v>6075629.3026758442</v>
      </c>
      <c r="F28" s="36" t="s">
        <v>3</v>
      </c>
      <c r="G28" s="1"/>
    </row>
    <row r="29" spans="1:7" ht="27" customHeight="1" x14ac:dyDescent="0.25">
      <c r="A29" s="1"/>
      <c r="B29" s="97" t="s">
        <v>90</v>
      </c>
      <c r="C29" s="97"/>
      <c r="D29" s="97"/>
      <c r="E29" s="97"/>
      <c r="F29" s="97"/>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1"/>
  <sheetViews>
    <sheetView showGridLines="0" view="pageLayout" zoomScaleNormal="100" workbookViewId="0">
      <selection activeCell="C25" sqref="C25"/>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9" t="s">
        <v>43</v>
      </c>
      <c r="C3" s="89"/>
      <c r="D3" s="89"/>
      <c r="E3" s="1"/>
      <c r="F3" s="1"/>
    </row>
    <row r="4" spans="1:6" ht="15" customHeight="1" x14ac:dyDescent="0.25">
      <c r="A4" s="1"/>
      <c r="B4" s="89"/>
      <c r="C4" s="89"/>
      <c r="D4" s="8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0" t="s">
        <v>91</v>
      </c>
      <c r="C8" s="111"/>
      <c r="D8" s="112"/>
      <c r="E8" s="1"/>
      <c r="F8" s="1"/>
    </row>
    <row r="9" spans="1:6" ht="15" customHeight="1" x14ac:dyDescent="0.25">
      <c r="A9" s="1"/>
      <c r="B9" s="17" t="s">
        <v>25</v>
      </c>
      <c r="C9" s="54" t="s">
        <v>109</v>
      </c>
      <c r="D9" s="54"/>
      <c r="E9" s="1"/>
      <c r="F9" s="1"/>
    </row>
    <row r="10" spans="1:6" x14ac:dyDescent="0.25">
      <c r="A10" s="1"/>
      <c r="B10" s="23" t="s">
        <v>127</v>
      </c>
      <c r="C10" s="8">
        <v>2140852.73</v>
      </c>
      <c r="D10" s="12" t="s">
        <v>3</v>
      </c>
      <c r="E10" s="1"/>
      <c r="F10" s="1"/>
    </row>
    <row r="11" spans="1:6" x14ac:dyDescent="0.25">
      <c r="A11" s="1"/>
      <c r="B11" s="23" t="s">
        <v>128</v>
      </c>
      <c r="C11" s="8">
        <v>9753.6299999999992</v>
      </c>
      <c r="D11" s="12" t="s">
        <v>3</v>
      </c>
      <c r="E11" s="1"/>
      <c r="F11" s="1"/>
    </row>
    <row r="12" spans="1:6" x14ac:dyDescent="0.25">
      <c r="A12" s="1"/>
      <c r="B12" s="23" t="s">
        <v>129</v>
      </c>
      <c r="C12" s="8">
        <v>10837.68</v>
      </c>
      <c r="D12" s="12" t="s">
        <v>3</v>
      </c>
      <c r="E12" s="1"/>
      <c r="F12" s="1"/>
    </row>
    <row r="13" spans="1:6" x14ac:dyDescent="0.25">
      <c r="A13" s="1"/>
      <c r="B13" s="23" t="s">
        <v>130</v>
      </c>
      <c r="C13" s="8">
        <v>168922</v>
      </c>
      <c r="D13" s="12" t="s">
        <v>3</v>
      </c>
      <c r="E13" s="1"/>
      <c r="F13" s="1"/>
    </row>
    <row r="14" spans="1:6" x14ac:dyDescent="0.25">
      <c r="A14" s="1"/>
      <c r="B14" s="23" t="s">
        <v>157</v>
      </c>
      <c r="C14" s="8">
        <v>148875.7101564836</v>
      </c>
      <c r="D14" s="12" t="s">
        <v>3</v>
      </c>
      <c r="E14" s="1"/>
      <c r="F14" s="1"/>
    </row>
    <row r="15" spans="1:6" x14ac:dyDescent="0.25">
      <c r="A15" s="1"/>
      <c r="B15" s="72" t="s">
        <v>92</v>
      </c>
      <c r="C15" s="10">
        <f>SUM(C10:C14)</f>
        <v>2479241.7501564836</v>
      </c>
      <c r="D15" s="11" t="s">
        <v>3</v>
      </c>
      <c r="E15" s="1"/>
      <c r="F15" s="1"/>
    </row>
    <row r="16" spans="1:6" x14ac:dyDescent="0.25">
      <c r="A16" s="1"/>
      <c r="B16" s="72" t="s">
        <v>93</v>
      </c>
      <c r="C16" s="10">
        <f>C15*(1+'Fane 11. Nøgletal'!C15)^2</f>
        <v>2658905.854592104</v>
      </c>
      <c r="D16" s="11" t="s">
        <v>3</v>
      </c>
      <c r="E16" s="1"/>
      <c r="F16" s="1"/>
    </row>
    <row r="17" spans="1:6" x14ac:dyDescent="0.25">
      <c r="A17" s="1"/>
      <c r="B17" s="14"/>
      <c r="C17" s="13"/>
      <c r="D17" s="13"/>
      <c r="E17" s="1"/>
      <c r="F17" s="1"/>
    </row>
    <row r="18" spans="1:6" x14ac:dyDescent="0.25">
      <c r="A18" s="1"/>
      <c r="B18" s="14"/>
      <c r="C18" s="13"/>
      <c r="D18" s="13"/>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B51" s="1"/>
      <c r="C51" s="1"/>
      <c r="D51" s="1"/>
    </row>
  </sheetData>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45"/>
  <sheetViews>
    <sheetView showGridLines="0" showWhiteSpace="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1" t="s">
        <v>154</v>
      </c>
      <c r="C3" s="91"/>
      <c r="D3" s="91"/>
      <c r="E3" s="91"/>
      <c r="F3" s="91"/>
      <c r="G3" s="1"/>
    </row>
    <row r="4" spans="1:7" ht="15" customHeight="1" x14ac:dyDescent="0.25">
      <c r="A4" s="1"/>
      <c r="B4" s="91"/>
      <c r="C4" s="91"/>
      <c r="D4" s="91"/>
      <c r="E4" s="91"/>
      <c r="F4" s="91"/>
      <c r="G4" s="1"/>
    </row>
    <row r="5" spans="1:7" ht="15" customHeight="1" x14ac:dyDescent="0.25">
      <c r="A5" s="1"/>
      <c r="B5" s="60"/>
      <c r="C5" s="60"/>
      <c r="D5" s="60"/>
      <c r="E5" s="60"/>
      <c r="F5" s="60"/>
      <c r="G5" s="1"/>
    </row>
    <row r="6" spans="1:7" ht="15" customHeight="1" x14ac:dyDescent="0.25">
      <c r="A6" s="1"/>
      <c r="B6" s="60"/>
      <c r="C6" s="60"/>
      <c r="D6" s="60"/>
      <c r="E6" s="60"/>
      <c r="F6" s="60"/>
      <c r="G6" s="1"/>
    </row>
    <row r="7" spans="1:7" x14ac:dyDescent="0.25">
      <c r="A7" s="1"/>
      <c r="B7" s="1"/>
      <c r="C7" s="1"/>
      <c r="D7" s="1"/>
      <c r="E7" s="1"/>
      <c r="F7" s="1"/>
      <c r="G7" s="1"/>
    </row>
    <row r="8" spans="1:7" x14ac:dyDescent="0.25">
      <c r="A8" s="1"/>
      <c r="B8" s="110" t="s">
        <v>72</v>
      </c>
      <c r="C8" s="111"/>
      <c r="D8" s="111"/>
      <c r="E8" s="111"/>
      <c r="F8" s="112"/>
      <c r="G8" s="1"/>
    </row>
    <row r="9" spans="1:7" x14ac:dyDescent="0.25">
      <c r="A9" s="1"/>
      <c r="B9" s="117" t="s">
        <v>94</v>
      </c>
      <c r="C9" s="118"/>
      <c r="D9" s="119"/>
      <c r="E9" s="8">
        <v>-347976.64387255348</v>
      </c>
      <c r="F9" s="12" t="s">
        <v>3</v>
      </c>
      <c r="G9" s="1"/>
    </row>
    <row r="10" spans="1:7" x14ac:dyDescent="0.25">
      <c r="A10" s="1"/>
      <c r="B10" s="117" t="s">
        <v>131</v>
      </c>
      <c r="C10" s="118"/>
      <c r="D10" s="119"/>
      <c r="E10" s="8">
        <v>-141693.97517936956</v>
      </c>
      <c r="F10" s="12" t="s">
        <v>3</v>
      </c>
      <c r="G10" s="1"/>
    </row>
    <row r="11" spans="1:7" x14ac:dyDescent="0.25">
      <c r="A11" s="1"/>
      <c r="B11" s="72"/>
      <c r="C11" s="22"/>
      <c r="D11" s="22"/>
      <c r="E11" s="22"/>
      <c r="F11" s="73"/>
      <c r="G11" s="1"/>
    </row>
    <row r="12" spans="1:7" ht="68.25" customHeight="1" x14ac:dyDescent="0.25">
      <c r="A12" s="1"/>
      <c r="B12" s="123" t="s">
        <v>151</v>
      </c>
      <c r="C12" s="124"/>
      <c r="D12" s="124"/>
      <c r="E12" s="124"/>
      <c r="F12" s="125"/>
      <c r="G12" s="1"/>
    </row>
    <row r="13" spans="1:7" ht="27" customHeight="1" x14ac:dyDescent="0.25">
      <c r="A13" s="1"/>
      <c r="B13" s="1"/>
      <c r="C13" s="1"/>
      <c r="D13" s="1"/>
      <c r="E13" s="1"/>
      <c r="F13" s="1"/>
      <c r="G13" s="1"/>
    </row>
    <row r="14" spans="1:7" ht="28.5" customHeight="1" x14ac:dyDescent="0.25">
      <c r="A14" s="1"/>
      <c r="B14" s="110" t="s">
        <v>73</v>
      </c>
      <c r="C14" s="111"/>
      <c r="D14" s="111"/>
      <c r="E14" s="111"/>
      <c r="F14" s="112"/>
      <c r="G14" s="1"/>
    </row>
    <row r="15" spans="1:7" x14ac:dyDescent="0.25">
      <c r="A15" s="1"/>
      <c r="B15" s="117" t="s">
        <v>95</v>
      </c>
      <c r="C15" s="118"/>
      <c r="D15" s="119"/>
      <c r="E15" s="8">
        <f>-35423.4581370688*2</f>
        <v>-70846.916274137606</v>
      </c>
      <c r="F15" s="12" t="s">
        <v>3</v>
      </c>
      <c r="G15" s="1"/>
    </row>
    <row r="16" spans="1:7" x14ac:dyDescent="0.25">
      <c r="A16" s="1"/>
      <c r="B16" s="117" t="s">
        <v>132</v>
      </c>
      <c r="C16" s="118"/>
      <c r="D16" s="119"/>
      <c r="E16" s="8">
        <f>-35423.4581370688*2</f>
        <v>-70846.916274137606</v>
      </c>
      <c r="F16" s="12" t="s">
        <v>3</v>
      </c>
      <c r="G16" s="1"/>
    </row>
    <row r="17" spans="1:7" x14ac:dyDescent="0.25">
      <c r="A17" s="1"/>
      <c r="B17" s="72"/>
      <c r="C17" s="22"/>
      <c r="D17" s="22"/>
      <c r="E17" s="22"/>
      <c r="F17" s="73"/>
      <c r="G17" s="1"/>
    </row>
    <row r="18" spans="1:7" ht="31.5" customHeight="1" x14ac:dyDescent="0.25">
      <c r="A18" s="1"/>
      <c r="B18" s="123" t="s">
        <v>152</v>
      </c>
      <c r="C18" s="124"/>
      <c r="D18" s="124"/>
      <c r="E18" s="124"/>
      <c r="F18" s="125"/>
      <c r="G18" s="1"/>
    </row>
    <row r="19" spans="1:7" ht="28.5" customHeight="1" x14ac:dyDescent="0.25">
      <c r="A19" s="1"/>
      <c r="B19" s="1"/>
      <c r="C19" s="1"/>
      <c r="D19" s="1"/>
      <c r="E19" s="1"/>
      <c r="F19" s="1"/>
      <c r="G19" s="1"/>
    </row>
    <row r="20" spans="1:7" ht="28.5" customHeight="1" x14ac:dyDescent="0.25">
      <c r="A20" s="1"/>
      <c r="B20" s="63" t="s">
        <v>96</v>
      </c>
      <c r="C20" s="64"/>
      <c r="D20" s="64"/>
      <c r="E20" s="64"/>
      <c r="F20" s="65"/>
      <c r="G20" s="1"/>
    </row>
    <row r="21" spans="1:7" x14ac:dyDescent="0.25">
      <c r="A21" s="1"/>
      <c r="B21" s="67" t="s">
        <v>97</v>
      </c>
      <c r="C21" s="68"/>
      <c r="D21" s="69"/>
      <c r="E21" s="8">
        <v>5723741</v>
      </c>
      <c r="F21" s="12" t="s">
        <v>3</v>
      </c>
      <c r="G21" s="1"/>
    </row>
    <row r="22" spans="1:7" x14ac:dyDescent="0.25">
      <c r="A22" s="1"/>
      <c r="B22" s="67" t="s">
        <v>133</v>
      </c>
      <c r="C22" s="68"/>
      <c r="D22" s="69"/>
      <c r="E22" s="8">
        <v>6238263.4100000001</v>
      </c>
      <c r="F22" s="12" t="s">
        <v>3</v>
      </c>
      <c r="G22" s="1"/>
    </row>
    <row r="23" spans="1:7" x14ac:dyDescent="0.25">
      <c r="A23" s="1"/>
      <c r="B23" s="67" t="s">
        <v>26</v>
      </c>
      <c r="C23" s="68"/>
      <c r="D23" s="69"/>
      <c r="E23" s="8">
        <v>0</v>
      </c>
      <c r="F23" s="12" t="s">
        <v>3</v>
      </c>
      <c r="G23" s="1"/>
    </row>
    <row r="24" spans="1:7" x14ac:dyDescent="0.25">
      <c r="A24" s="1"/>
      <c r="B24" s="55" t="s">
        <v>153</v>
      </c>
      <c r="C24" s="56"/>
      <c r="D24" s="57"/>
      <c r="E24" s="49">
        <f>E21-(E22-E23)</f>
        <v>-514522.41000000015</v>
      </c>
      <c r="F24" s="15" t="s">
        <v>3</v>
      </c>
      <c r="G24" s="1"/>
    </row>
    <row r="25" spans="1:7" x14ac:dyDescent="0.25">
      <c r="A25" s="1"/>
      <c r="B25" s="72"/>
      <c r="C25" s="22"/>
      <c r="D25" s="22"/>
      <c r="E25" s="22"/>
      <c r="F25" s="73"/>
      <c r="G25" s="1"/>
    </row>
    <row r="26" spans="1:7" ht="33.75" customHeight="1" x14ac:dyDescent="0.25">
      <c r="A26" s="1"/>
      <c r="B26" s="1"/>
      <c r="C26" s="1"/>
      <c r="D26" s="1"/>
      <c r="E26" s="1"/>
      <c r="F26" s="1"/>
      <c r="G26" s="1"/>
    </row>
    <row r="27" spans="1:7" ht="28.5" customHeight="1" x14ac:dyDescent="0.25">
      <c r="A27" s="1"/>
      <c r="B27" s="110" t="s">
        <v>134</v>
      </c>
      <c r="C27" s="111"/>
      <c r="D27" s="111"/>
      <c r="E27" s="111"/>
      <c r="F27" s="112"/>
      <c r="G27" s="1"/>
    </row>
    <row r="28" spans="1:7" x14ac:dyDescent="0.25">
      <c r="A28" s="1"/>
      <c r="B28" s="120" t="s">
        <v>62</v>
      </c>
      <c r="C28" s="121"/>
      <c r="D28" s="122"/>
      <c r="E28" s="8">
        <f>IF(AND(E9&gt;0,E24&gt;0),0,IF(AND(E9&lt;0,E24&lt;0),E15+E16+E24,IF(AND(E9&lt;0,E24&gt;0),E15+E16,IF(AND(E9&gt;0,E24&lt;0,E10=0),E24,IF(AND(E9&gt;0,E24&lt;0,ABS(E10)&gt;ABS(E24)),0,IF(AND(E9&gt;0,E24&lt;0,ABS(E10)&lt;ABS(E24)),(E10-ABS(E24)),"fejl"))))))</f>
        <v>-656216.24254827539</v>
      </c>
      <c r="F28" s="12" t="s">
        <v>3</v>
      </c>
      <c r="G28" s="1"/>
    </row>
    <row r="29" spans="1:7" x14ac:dyDescent="0.25">
      <c r="A29" s="1"/>
      <c r="B29" s="120" t="s">
        <v>45</v>
      </c>
      <c r="C29" s="121"/>
      <c r="D29" s="122"/>
      <c r="E29" s="8">
        <v>2</v>
      </c>
      <c r="F29" s="12" t="s">
        <v>18</v>
      </c>
      <c r="G29" s="1"/>
    </row>
    <row r="30" spans="1:7" x14ac:dyDescent="0.25">
      <c r="A30" s="1"/>
      <c r="B30" s="113" t="s">
        <v>74</v>
      </c>
      <c r="C30" s="113"/>
      <c r="D30" s="113"/>
      <c r="E30" s="9">
        <f>E28/E29</f>
        <v>-328108.12127413769</v>
      </c>
      <c r="F30" s="15" t="s">
        <v>3</v>
      </c>
      <c r="G30" s="1"/>
    </row>
    <row r="31" spans="1:7" x14ac:dyDescent="0.25">
      <c r="A31" s="1"/>
      <c r="B31" s="114"/>
      <c r="C31" s="115"/>
      <c r="D31" s="115"/>
      <c r="E31" s="115"/>
      <c r="F31" s="11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45"/>
  <sheetViews>
    <sheetView view="pageLayout" zoomScaleNormal="100" workbookViewId="0"/>
  </sheetViews>
  <sheetFormatPr defaultColWidth="9.140625" defaultRowHeight="15" x14ac:dyDescent="0.25"/>
  <cols>
    <col min="1" max="1" width="4.7109375" style="48" customWidth="1"/>
    <col min="2" max="2" width="22.5703125" style="48" customWidth="1"/>
    <col min="3" max="3" width="8.28515625" style="48" customWidth="1"/>
    <col min="4" max="6" width="10.7109375" style="48" customWidth="1"/>
    <col min="7" max="7" width="11.140625" style="48" customWidth="1"/>
    <col min="8" max="8" width="3.28515625" style="48" customWidth="1"/>
    <col min="9" max="9" width="4.85546875" style="48" customWidth="1"/>
    <col min="10" max="16384" width="9.140625" style="4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9" t="s">
        <v>126</v>
      </c>
      <c r="C3" s="89"/>
      <c r="D3" s="89"/>
      <c r="E3" s="89"/>
      <c r="F3" s="89"/>
      <c r="G3" s="89"/>
      <c r="H3" s="89"/>
      <c r="I3" s="1"/>
    </row>
    <row r="4" spans="1:9" ht="15" customHeight="1" x14ac:dyDescent="0.25">
      <c r="A4" s="1"/>
      <c r="B4" s="89"/>
      <c r="C4" s="89"/>
      <c r="D4" s="89"/>
      <c r="E4" s="89"/>
      <c r="F4" s="89"/>
      <c r="G4" s="89"/>
      <c r="H4" s="8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0" t="s">
        <v>123</v>
      </c>
      <c r="C8" s="111"/>
      <c r="D8" s="111"/>
      <c r="E8" s="111"/>
      <c r="F8" s="111"/>
      <c r="G8" s="111"/>
      <c r="H8" s="112"/>
      <c r="I8" s="1"/>
    </row>
    <row r="9" spans="1:9" ht="15" customHeight="1" x14ac:dyDescent="0.25">
      <c r="A9" s="1"/>
      <c r="B9" s="107" t="s">
        <v>124</v>
      </c>
      <c r="C9" s="108"/>
      <c r="D9" s="108"/>
      <c r="E9" s="108"/>
      <c r="F9" s="108"/>
      <c r="G9" s="108"/>
      <c r="H9" s="109"/>
      <c r="I9" s="1"/>
    </row>
    <row r="10" spans="1:9" x14ac:dyDescent="0.25">
      <c r="A10" s="1"/>
      <c r="B10" s="94" t="s">
        <v>141</v>
      </c>
      <c r="C10" s="95"/>
      <c r="D10" s="95"/>
      <c r="E10" s="95"/>
      <c r="F10" s="96"/>
      <c r="G10" s="50">
        <v>0</v>
      </c>
      <c r="H10" s="8" t="s">
        <v>3</v>
      </c>
      <c r="I10" s="1"/>
    </row>
    <row r="11" spans="1:9" x14ac:dyDescent="0.25">
      <c r="A11" s="1"/>
      <c r="B11" s="94" t="s">
        <v>142</v>
      </c>
      <c r="C11" s="95"/>
      <c r="D11" s="95"/>
      <c r="E11" s="95"/>
      <c r="F11" s="96"/>
      <c r="G11" s="50">
        <v>0</v>
      </c>
      <c r="H11" s="8" t="s">
        <v>3</v>
      </c>
      <c r="I11" s="1"/>
    </row>
    <row r="12" spans="1:9" x14ac:dyDescent="0.25">
      <c r="A12" s="1"/>
      <c r="B12" s="94" t="s">
        <v>143</v>
      </c>
      <c r="C12" s="95"/>
      <c r="D12" s="95"/>
      <c r="E12" s="95"/>
      <c r="F12" s="96"/>
      <c r="G12" s="8">
        <v>0</v>
      </c>
      <c r="H12" s="8" t="s">
        <v>3</v>
      </c>
      <c r="I12" s="1"/>
    </row>
    <row r="13" spans="1:9" x14ac:dyDescent="0.25">
      <c r="A13" s="1"/>
      <c r="B13" s="94" t="s">
        <v>144</v>
      </c>
      <c r="C13" s="95"/>
      <c r="D13" s="95"/>
      <c r="E13" s="95"/>
      <c r="F13" s="96"/>
      <c r="G13" s="8">
        <v>0</v>
      </c>
      <c r="H13" s="8" t="s">
        <v>3</v>
      </c>
      <c r="I13" s="1"/>
    </row>
    <row r="14" spans="1:9" x14ac:dyDescent="0.25">
      <c r="A14" s="1"/>
      <c r="B14" s="94" t="s">
        <v>145</v>
      </c>
      <c r="C14" s="95"/>
      <c r="D14" s="95"/>
      <c r="E14" s="95"/>
      <c r="F14" s="96"/>
      <c r="G14" s="8">
        <v>0</v>
      </c>
      <c r="H14" s="8" t="s">
        <v>3</v>
      </c>
      <c r="I14" s="1"/>
    </row>
    <row r="15" spans="1:9" x14ac:dyDescent="0.25">
      <c r="A15" s="1"/>
      <c r="B15" s="94" t="s">
        <v>146</v>
      </c>
      <c r="C15" s="95"/>
      <c r="D15" s="95"/>
      <c r="E15" s="95"/>
      <c r="F15" s="96"/>
      <c r="G15" s="8">
        <v>0</v>
      </c>
      <c r="H15" s="8" t="s">
        <v>3</v>
      </c>
      <c r="I15" s="1"/>
    </row>
    <row r="16" spans="1:9" x14ac:dyDescent="0.25">
      <c r="A16" s="1"/>
      <c r="B16" s="94" t="s">
        <v>147</v>
      </c>
      <c r="C16" s="95"/>
      <c r="D16" s="95"/>
      <c r="E16" s="95"/>
      <c r="F16" s="96"/>
      <c r="G16" s="8">
        <v>0</v>
      </c>
      <c r="H16" s="8" t="s">
        <v>3</v>
      </c>
      <c r="I16" s="1"/>
    </row>
    <row r="17" spans="1:9" x14ac:dyDescent="0.25">
      <c r="A17" s="1"/>
      <c r="B17" s="94" t="s">
        <v>148</v>
      </c>
      <c r="C17" s="95"/>
      <c r="D17" s="95"/>
      <c r="E17" s="95"/>
      <c r="F17" s="96"/>
      <c r="G17" s="8">
        <v>0</v>
      </c>
      <c r="H17" s="8" t="s">
        <v>3</v>
      </c>
      <c r="I17" s="1"/>
    </row>
    <row r="18" spans="1:9" x14ac:dyDescent="0.25">
      <c r="A18" s="1"/>
      <c r="B18" s="110" t="s">
        <v>125</v>
      </c>
      <c r="C18" s="111"/>
      <c r="D18" s="111"/>
      <c r="E18" s="111"/>
      <c r="F18" s="112"/>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Christian Skou Petersson</cp:lastModifiedBy>
  <cp:lastPrinted>2016-06-14T12:57:30Z</cp:lastPrinted>
  <dcterms:created xsi:type="dcterms:W3CDTF">2016-06-02T08:51:18Z</dcterms:created>
  <dcterms:modified xsi:type="dcterms:W3CDTF">2023-09-06T13:57:16Z</dcterms:modified>
</cp:coreProperties>
</file>