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København AS (V09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G37" i="36" l="1"/>
  <c r="G38" i="36"/>
  <c r="C31" i="2" l="1"/>
  <c r="G26" i="36" l="1"/>
  <c r="E41" i="32" l="1"/>
  <c r="C14" i="19" l="1"/>
  <c r="E16" i="27" l="1"/>
  <c r="E43" i="32" l="1"/>
  <c r="C23" i="23" l="1"/>
  <c r="C23" i="22"/>
  <c r="E33" i="32"/>
  <c r="G31" i="36" l="1"/>
  <c r="G31" i="30" l="1"/>
  <c r="G7" i="30"/>
  <c r="G11" i="30" s="1"/>
  <c r="C11" i="2"/>
  <c r="C11" i="15" s="1"/>
  <c r="G38" i="30" l="1"/>
  <c r="C10" i="2" l="1"/>
  <c r="C10" i="15" s="1"/>
  <c r="E11" i="11" l="1"/>
  <c r="E12" i="11"/>
  <c r="E10" i="11"/>
  <c r="E17" i="32" l="1"/>
  <c r="E9" i="32" l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7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6" i="2" s="1"/>
  <c r="C21" i="23" l="1"/>
  <c r="C21" i="22"/>
  <c r="C26" i="15"/>
  <c r="C28" i="2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E37" i="32" s="1"/>
  <c r="C28" i="15" l="1"/>
  <c r="C30" i="2"/>
  <c r="F13" i="11"/>
  <c r="C10" i="37" s="1"/>
  <c r="C14" i="37" s="1"/>
  <c r="C15" i="37" s="1"/>
  <c r="C12" i="2" s="1"/>
  <c r="G13" i="11"/>
  <c r="E11" i="21" l="1"/>
  <c r="C11" i="21"/>
  <c r="E11" i="29"/>
  <c r="C11" i="29"/>
  <c r="C15" i="19"/>
  <c r="C12" i="29" l="1"/>
  <c r="C16" i="2" s="1"/>
  <c r="E12" i="29"/>
  <c r="C17" i="2" s="1"/>
  <c r="C17" i="23"/>
  <c r="C17" i="22"/>
  <c r="C22" i="15"/>
  <c r="C24" i="2"/>
  <c r="E12" i="21"/>
  <c r="C15" i="2" s="1"/>
  <c r="C12" i="21"/>
  <c r="C14" i="2" s="1"/>
  <c r="G32" i="30" s="1"/>
  <c r="G37" i="30" l="1"/>
  <c r="G33" i="30"/>
  <c r="C20" i="2" s="1"/>
  <c r="C12" i="15"/>
  <c r="G26" i="30"/>
  <c r="E18" i="27" s="1"/>
  <c r="G39" i="30" l="1"/>
  <c r="E13" i="11"/>
  <c r="E10" i="37" s="1"/>
  <c r="E14" i="37" s="1"/>
  <c r="E15" i="37" s="1"/>
  <c r="C13" i="2" s="1"/>
  <c r="G32" i="36" s="1"/>
  <c r="G33" i="36" s="1"/>
  <c r="C13" i="15" l="1"/>
  <c r="C21" i="2"/>
  <c r="G41" i="30"/>
  <c r="G45" i="30" l="1"/>
  <c r="G47" i="30" s="1"/>
  <c r="C13" i="22" s="1"/>
  <c r="C18" i="15"/>
  <c r="G39" i="36"/>
  <c r="G41" i="36" l="1"/>
  <c r="C19" i="15" s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18" i="2" l="1"/>
  <c r="C19" i="2" s="1"/>
  <c r="C22" i="2" l="1"/>
  <c r="C9" i="15" l="1"/>
  <c r="C16" i="15" s="1"/>
  <c r="C17" i="15" s="1"/>
  <c r="C20" i="15" s="1"/>
  <c r="C29" i="15" s="1"/>
  <c r="C8" i="22" l="1"/>
  <c r="C11" i="22" s="1"/>
  <c r="C12" i="22" l="1"/>
  <c r="C15" i="22" l="1"/>
  <c r="C24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<sst xmlns="http://schemas.openxmlformats.org/spreadsheetml/2006/main" count="633" uniqueCount="262">
  <si>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</si>
  <si>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</si>
  <si>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</si>
  <si>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</si>
  <si>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</si>
  <si>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</si>
  <si>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</si>
  <si>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</si>
  <si>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</si>
  <si>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</si>
  <si>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</si>
  <si>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</si>
  <si>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</si>
  <si>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</si>
  <si>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</si>
  <si>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</si>
  <si>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</si>
  <si>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</si>
  <si>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</si>
  <si>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</si>
  <si>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</si>
  <si>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</si>
  <si>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</si>
  <si>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</si>
  <si>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</si>
  <si>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</si>
  <si>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</si>
  <si>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</si>
  <si>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</si>
  <si>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</si>
  <si>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</si>
  <si>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</si>
  <si>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</si>
  <si>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</si>
  <si>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</si>
  <si>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</si>
  <si>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</si>
  <si>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</si>
  <si>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</si>
  <si>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</si>
  <si>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</si>
  <si>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</si>
  <si>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</si>
  <si>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</si>
  <si>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</si>
  <si>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</si>
  <si>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</si>
  <si>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</si>
  <si>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</si>
  <si>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</si>
  <si>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</si>
  <si>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</si>
  <si>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</si>
  <si>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</si>
  <si>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</si>
  <si>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</si>
  <si>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</si>
  <si>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</si>
  <si>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</si>
  <si>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</si>
  <si>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</si>
  <si>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</si>
  <si>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</si>
  <si>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</si>
  <si>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</si>
  <si>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</si>
  <si>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</si>
  <si>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</si>
  <si>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</si>
  <si>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</si>
  <si>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</si>
  <si>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</si>
  <si>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</si>
  <si>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</si>
  <si>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</si>
  <si>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</si>
  <si>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</si>
  <si>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</si>
  <si>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</si>
  <si>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</si>
  <si>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</si>
  <si>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</si>
  <si>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</si>
  <si>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</si>
  <si>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</si>
  <si>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</si>
  <si>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</si>
  <si>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</si>
  <si>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</si>
  <si>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</si>
  <si>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</si>
  <si>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</si>
  <si>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</si>
  <si>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</si>
  <si>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</si>
  <si>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</si>
  <si>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</si>
  <si>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</si>
  <si>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</si>
  <si>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</si>
  <si>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</si>
  <si>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</si>
  <si>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</si>
  <si>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</si>
  <si>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</si>
  <si>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</si>
  <si>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</si>
  <si>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</si>
  <si>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</si>
  <si>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</si>
  <si>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</si>
  <si>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</si>
  <si>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</si>
  <si>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</si>
  <si>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</si>
  <si>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</si>
  <si>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</si>
  <si>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</si>
  <si>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</si>
  <si>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</si>
  <si>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</si>
  <si>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</si>
  <si>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</si>
  <si>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</si>
  <si>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</si>
  <si>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</si>
  <si>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</si>
  <si>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</si>
  <si>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</si>
  <si>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</si>
  <si>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</si>
  <si>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</si>
  <si>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</si>
  <si>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</si>
  <si>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</si>
  <si>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</si>
  <si>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</si>
  <si>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</si>
  <si>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</si>
  <si>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</si>
  <si>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</si>
  <si>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</si>
  <si>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</si>
  <si>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</si>
  <si>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</si>
  <si>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</si>
  <si>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</si>
  <si>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</si>
  <si>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</si>
  <si>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</si>
  <si>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</si>
  <si>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</si>
  <si>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</si>
  <si>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</si>
  <si>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</si>
  <si>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</si>
  <si>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</si>
  <si>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</si>
  <si>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</si>
  <si>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</si>
  <si>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</si>
  <si>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</si>
  <si>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</si>
  <si>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</si>
  <si>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</si>
  <si>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</si>
  <si>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</si>
  <si>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</si>
  <si>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</si>
  <si>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</si>
  <si>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</si>
  <si>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</si>
  <si>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</si>
  <si>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</si>
  <si>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</si>
  <si>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</si>
  <si>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</si>
  <si>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</si>
  <si>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</si>
  <si>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</si>
  <si>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</si>
  <si>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</si>
  <si>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</si>
  <si>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</si>
  <si>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</si>
  <si>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</si>
  <si>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</si>
  <si>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</si>
  <si>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</si>
  <si>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</si>
  <si>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</si>
  <si>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</si>
  <si>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</si>
  <si>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</si>
  <si>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</si>
  <si>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</si>
  <si>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</si>
  <si>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</si>
  <si>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</si>
  <si>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</si>
  <si>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</si>
  <si>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</si>
  <si>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</si>
  <si>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</si>
  <si>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</si>
  <si>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</si>
  <si>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</si>
  <si>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</si>
  <si>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</si>
  <si>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</si>
  <si>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</si>
  <si>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</si>
  <si>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</si>
  <si>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</si>
  <si>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</si>
  <si>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</si>
  <si>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</si>
  <si>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</si>
  <si>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</si>
  <si>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</si>
  <si>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</si>
  <si>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</si>
  <si>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</si>
  <si>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</si>
  <si>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</si>
  <si>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</si>
  <si>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</si>
  <si>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</si>
  <si>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</si>
  <si>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</si>
  <si>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</si>
  <si>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</si>
  <si>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</si>
  <si>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</si>
  <si>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</si>
  <si>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</si>
  <si>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</si>
  <si>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</si>
  <si>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</si>
  <si>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</si>
  <si>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</si>
  <si>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</si>
  <si>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</si>
  <si>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</si>
  <si>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</si>
  <si>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</si>
  <si>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</si>
  <si>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</si>
  <si>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</si>
  <si>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</si>
  <si>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</si>
  <si>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</si>
  <si>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>Blødgøring</t>
  </si>
  <si>
    <t>Flytning af forsyningsledninger</t>
  </si>
  <si>
    <t>Nye tilslutninger</t>
  </si>
  <si>
    <t>Ingen engangstillæg</t>
  </si>
  <si>
    <t>Boring (inkl. etablering, forerør, filter og prøvepumpning)</t>
  </si>
  <si>
    <t>30</t>
  </si>
  <si>
    <t>SRO anlæg</t>
  </si>
  <si>
    <t>10</t>
  </si>
  <si>
    <t>Software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</si>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</sst>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7" fillId="8" borderId="1" xfId="0" applyFont="1" applyFill="1" applyBorder="1" applyAlignment="1" applyProtection="1"/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226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186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15</v>
      </c>
      <c r="D14" s="66" t="s">
        <v>227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187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157</v>
      </c>
      <c r="D17" s="66" t="s">
        <v>188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143</v>
      </c>
      <c r="D18" s="72" t="s">
        <v>117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144</v>
      </c>
      <c r="D19" s="72" t="s">
        <v>118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145</v>
      </c>
      <c r="D21" s="63" t="s">
        <v>12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101</v>
      </c>
      <c r="D22" s="57" t="s">
        <v>189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43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237</v>
      </c>
      <c r="D24" s="57" t="s">
        <v>102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238</v>
      </c>
      <c r="D25" s="57" t="s">
        <v>103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239</v>
      </c>
      <c r="D26" s="57" t="s">
        <v>160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146</v>
      </c>
      <c r="D27" s="57" t="s">
        <v>44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130</v>
      </c>
      <c r="D28" s="60" t="s">
        <v>131</v>
      </c>
      <c r="E28" s="61"/>
      <c r="F28" s="61"/>
      <c r="G28" s="62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3UT9tilvGBCstqk3CGgkvkBv99+cJzniJ01g0uRNMSz14o9MzE5lqtCwOfxKBy0eNwSFKvj6s+Zv4Ol0y2MQ==" saltValue="7Sa3aWPsFV69uUeSbvSJV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142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3" t="s">
        <v>174</v>
      </c>
      <c r="C8" s="104"/>
      <c r="D8" s="105"/>
      <c r="E8" s="1"/>
      <c r="F8" s="1"/>
    </row>
    <row r="9" spans="1:6" ht="15" customHeight="1" x14ac:dyDescent="0.25">
      <c r="A9" s="1"/>
      <c r="B9" s="41" t="s">
        <v>35</v>
      </c>
      <c r="C9" s="11" t="s">
        <v>175</v>
      </c>
      <c r="D9" s="11"/>
      <c r="E9" s="1"/>
      <c r="F9" s="1"/>
    </row>
    <row r="10" spans="1:6" ht="15" customHeight="1" x14ac:dyDescent="0.25">
      <c r="A10" s="1"/>
      <c r="B10" s="52" t="s">
        <v>246</v>
      </c>
      <c r="C10" s="9">
        <v>198176029</v>
      </c>
      <c r="D10" s="14" t="s">
        <v>3</v>
      </c>
      <c r="E10" s="1"/>
      <c r="F10" s="1"/>
    </row>
    <row r="11" spans="1:6" x14ac:dyDescent="0.25">
      <c r="A11" s="1"/>
      <c r="B11" s="52" t="s">
        <v>247</v>
      </c>
      <c r="C11" s="9">
        <v>2095418</v>
      </c>
      <c r="D11" s="14" t="s">
        <v>3</v>
      </c>
      <c r="E11" s="1"/>
      <c r="F11" s="1"/>
    </row>
    <row r="12" spans="1:6" x14ac:dyDescent="0.25">
      <c r="A12" s="1"/>
      <c r="B12" s="52" t="s">
        <v>248</v>
      </c>
      <c r="C12" s="9">
        <v>1830608</v>
      </c>
      <c r="D12" s="14" t="s">
        <v>3</v>
      </c>
      <c r="E12" s="1"/>
      <c r="F12" s="1"/>
    </row>
    <row r="13" spans="1:6" x14ac:dyDescent="0.25">
      <c r="A13" s="1"/>
      <c r="B13" s="52" t="s">
        <v>249</v>
      </c>
      <c r="C13" s="9">
        <v>38009884</v>
      </c>
      <c r="D13" s="14" t="s">
        <v>3</v>
      </c>
      <c r="E13" s="1"/>
      <c r="F13" s="1"/>
    </row>
    <row r="14" spans="1:6" x14ac:dyDescent="0.25">
      <c r="A14" s="1"/>
      <c r="B14" s="48" t="s">
        <v>176</v>
      </c>
      <c r="C14" s="12">
        <f>SUM(C10:C13)</f>
        <v>240111939</v>
      </c>
      <c r="D14" s="13" t="s">
        <v>3</v>
      </c>
      <c r="E14" s="1"/>
      <c r="F14" s="1"/>
    </row>
    <row r="15" spans="1:6" x14ac:dyDescent="0.25">
      <c r="A15" s="1"/>
      <c r="B15" s="48" t="s">
        <v>177</v>
      </c>
      <c r="C15" s="12">
        <f>C14*(1+'Fane 12. Nøgletal'!C13)^2</f>
        <v>246006408.57260075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9nh2/+adS+AgNDZCiPipyWJq5D8bxG6n1ooMcbCM73z/JqUzNfOOeEEH6Emk0xBmB4dYKwRBP3RfXmpQGaAxA==" saltValue="CIzEp/wEnhkxpTLomNWH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197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103" t="s">
        <v>39</v>
      </c>
      <c r="C6" s="104"/>
      <c r="D6" s="104"/>
      <c r="E6" s="104"/>
      <c r="F6" s="105"/>
      <c r="G6" s="1"/>
    </row>
    <row r="7" spans="1:7" ht="15" customHeight="1" x14ac:dyDescent="0.25">
      <c r="A7" s="1"/>
      <c r="B7" s="106" t="s">
        <v>37</v>
      </c>
      <c r="C7" s="107"/>
      <c r="D7" s="108"/>
      <c r="E7" s="9">
        <v>-1633846.802333334</v>
      </c>
      <c r="F7" s="14" t="s">
        <v>3</v>
      </c>
      <c r="G7" s="1"/>
    </row>
    <row r="8" spans="1:7" ht="15" customHeight="1" x14ac:dyDescent="0.25">
      <c r="A8" s="1"/>
      <c r="B8" s="106" t="s">
        <v>38</v>
      </c>
      <c r="C8" s="107"/>
      <c r="D8" s="108"/>
      <c r="E8" s="9">
        <v>-43591586.507452965</v>
      </c>
      <c r="F8" s="14" t="s">
        <v>3</v>
      </c>
      <c r="G8" s="1"/>
    </row>
    <row r="9" spans="1:7" ht="15" customHeight="1" x14ac:dyDescent="0.25">
      <c r="A9" s="1"/>
      <c r="B9" s="101" t="s">
        <v>133</v>
      </c>
      <c r="C9" s="102"/>
      <c r="D9" s="116"/>
      <c r="E9" s="10">
        <f>SUM(E7:E8)</f>
        <v>-45225433.309786297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0"/>
      <c r="G10" s="1"/>
    </row>
    <row r="11" spans="1:7" ht="28.5" customHeight="1" x14ac:dyDescent="0.25">
      <c r="A11" s="1"/>
      <c r="B11" s="89" t="s">
        <v>134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03" t="s">
        <v>119</v>
      </c>
      <c r="C13" s="104"/>
      <c r="D13" s="104"/>
      <c r="E13" s="104"/>
      <c r="F13" s="105"/>
      <c r="G13" s="1"/>
    </row>
    <row r="14" spans="1:7" x14ac:dyDescent="0.25">
      <c r="A14" s="1"/>
      <c r="B14" s="106" t="s">
        <v>120</v>
      </c>
      <c r="C14" s="107"/>
      <c r="D14" s="108"/>
      <c r="E14" s="9">
        <v>557988398.05614161</v>
      </c>
      <c r="F14" s="14" t="s">
        <v>3</v>
      </c>
      <c r="G14" s="1"/>
    </row>
    <row r="15" spans="1:7" x14ac:dyDescent="0.25">
      <c r="A15" s="1"/>
      <c r="B15" s="106" t="s">
        <v>121</v>
      </c>
      <c r="C15" s="107"/>
      <c r="D15" s="108"/>
      <c r="E15" s="9">
        <v>599638686</v>
      </c>
      <c r="F15" s="14" t="s">
        <v>3</v>
      </c>
      <c r="G15" s="1"/>
    </row>
    <row r="16" spans="1:7" x14ac:dyDescent="0.25">
      <c r="A16" s="1"/>
      <c r="B16" s="106" t="s">
        <v>36</v>
      </c>
      <c r="C16" s="107"/>
      <c r="D16" s="108"/>
      <c r="E16" s="9">
        <v>0</v>
      </c>
      <c r="F16" s="14" t="s">
        <v>3</v>
      </c>
      <c r="G16" s="1"/>
    </row>
    <row r="17" spans="1:7" x14ac:dyDescent="0.25">
      <c r="A17" s="1"/>
      <c r="B17" s="101" t="s">
        <v>230</v>
      </c>
      <c r="C17" s="102"/>
      <c r="D17" s="116"/>
      <c r="E17" s="10">
        <f>E14-(E15-E16)</f>
        <v>-41650287.943858385</v>
      </c>
      <c r="F17" s="17" t="s">
        <v>3</v>
      </c>
      <c r="G17" s="1"/>
    </row>
    <row r="18" spans="1:7" x14ac:dyDescent="0.25">
      <c r="A18" s="1"/>
      <c r="B18" s="48"/>
      <c r="C18" s="49"/>
      <c r="D18" s="49"/>
      <c r="E18" s="49"/>
      <c r="F18" s="20"/>
      <c r="G18" s="1"/>
    </row>
    <row r="19" spans="1:7" ht="27.75" customHeight="1" x14ac:dyDescent="0.25">
      <c r="A19" s="1"/>
      <c r="B19" s="89" t="s">
        <v>135</v>
      </c>
      <c r="C19" s="90"/>
      <c r="D19" s="90"/>
      <c r="E19" s="90"/>
      <c r="F19" s="9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03" t="s">
        <v>50</v>
      </c>
      <c r="C21" s="104"/>
      <c r="D21" s="104"/>
      <c r="E21" s="104"/>
      <c r="F21" s="105"/>
      <c r="G21" s="1"/>
    </row>
    <row r="22" spans="1:7" x14ac:dyDescent="0.25">
      <c r="A22" s="1"/>
      <c r="B22" s="106" t="s">
        <v>51</v>
      </c>
      <c r="C22" s="107"/>
      <c r="D22" s="108"/>
      <c r="E22" s="9">
        <v>547685098.33427179</v>
      </c>
      <c r="F22" s="14" t="s">
        <v>3</v>
      </c>
      <c r="G22" s="1"/>
    </row>
    <row r="23" spans="1:7" x14ac:dyDescent="0.25">
      <c r="A23" s="1"/>
      <c r="B23" s="106" t="s">
        <v>52</v>
      </c>
      <c r="C23" s="107"/>
      <c r="D23" s="108"/>
      <c r="E23" s="9">
        <v>579109537</v>
      </c>
      <c r="F23" s="14" t="s">
        <v>3</v>
      </c>
      <c r="G23" s="1"/>
    </row>
    <row r="24" spans="1:7" x14ac:dyDescent="0.25">
      <c r="A24" s="1"/>
      <c r="B24" s="106" t="s">
        <v>36</v>
      </c>
      <c r="C24" s="107"/>
      <c r="D24" s="108"/>
      <c r="E24" s="9">
        <v>0</v>
      </c>
      <c r="F24" s="14" t="s">
        <v>3</v>
      </c>
      <c r="G24" s="1"/>
    </row>
    <row r="25" spans="1:7" x14ac:dyDescent="0.25">
      <c r="A25" s="1"/>
      <c r="B25" s="101" t="s">
        <v>229</v>
      </c>
      <c r="C25" s="102"/>
      <c r="D25" s="116"/>
      <c r="E25" s="10">
        <f>E22-(E23-E24)</f>
        <v>-31424438.665728211</v>
      </c>
      <c r="F25" s="17" t="s">
        <v>3</v>
      </c>
      <c r="G25" s="1"/>
    </row>
    <row r="26" spans="1:7" x14ac:dyDescent="0.25">
      <c r="A26" s="1"/>
      <c r="B26" s="48"/>
      <c r="C26" s="49"/>
      <c r="D26" s="49"/>
      <c r="E26" s="49"/>
      <c r="F26" s="20"/>
      <c r="G26" s="1"/>
    </row>
    <row r="27" spans="1:7" ht="28.5" customHeight="1" x14ac:dyDescent="0.25">
      <c r="A27" s="1"/>
      <c r="B27" s="89" t="s">
        <v>219</v>
      </c>
      <c r="C27" s="90"/>
      <c r="D27" s="90"/>
      <c r="E27" s="90"/>
      <c r="F27" s="9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3" t="s">
        <v>221</v>
      </c>
      <c r="C29" s="104"/>
      <c r="D29" s="104"/>
      <c r="E29" s="104"/>
      <c r="F29" s="105"/>
      <c r="G29" s="1"/>
    </row>
    <row r="30" spans="1:7" x14ac:dyDescent="0.25">
      <c r="A30" s="1"/>
      <c r="B30" s="106" t="s">
        <v>222</v>
      </c>
      <c r="C30" s="107"/>
      <c r="D30" s="108"/>
      <c r="E30" s="9">
        <v>532759008.19819176</v>
      </c>
      <c r="F30" s="14" t="s">
        <v>3</v>
      </c>
      <c r="G30" s="1"/>
    </row>
    <row r="31" spans="1:7" x14ac:dyDescent="0.25">
      <c r="A31" s="1"/>
      <c r="B31" s="106" t="s">
        <v>223</v>
      </c>
      <c r="C31" s="107"/>
      <c r="D31" s="108"/>
      <c r="E31" s="9">
        <v>534714746</v>
      </c>
      <c r="F31" s="14" t="s">
        <v>3</v>
      </c>
      <c r="G31" s="1"/>
    </row>
    <row r="32" spans="1:7" x14ac:dyDescent="0.25">
      <c r="A32" s="1"/>
      <c r="B32" s="106" t="s">
        <v>36</v>
      </c>
      <c r="C32" s="107"/>
      <c r="D32" s="108"/>
      <c r="E32" s="9">
        <v>0</v>
      </c>
      <c r="F32" s="14" t="s">
        <v>3</v>
      </c>
      <c r="G32" s="1"/>
    </row>
    <row r="33" spans="1:7" x14ac:dyDescent="0.25">
      <c r="A33" s="1"/>
      <c r="B33" s="101" t="s">
        <v>228</v>
      </c>
      <c r="C33" s="102"/>
      <c r="D33" s="116"/>
      <c r="E33" s="10">
        <f>E30-(E31-E32)</f>
        <v>-1955737.801808238</v>
      </c>
      <c r="F33" s="17" t="s">
        <v>3</v>
      </c>
      <c r="G33" s="1"/>
    </row>
    <row r="34" spans="1:7" x14ac:dyDescent="0.25">
      <c r="A34" s="1"/>
      <c r="B34" s="48"/>
      <c r="C34" s="49"/>
      <c r="D34" s="49"/>
      <c r="E34" s="49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3" t="s">
        <v>217</v>
      </c>
      <c r="C36" s="104"/>
      <c r="D36" s="104"/>
      <c r="E36" s="104"/>
      <c r="F36" s="105"/>
      <c r="G36" s="1"/>
    </row>
    <row r="37" spans="1:7" x14ac:dyDescent="0.25">
      <c r="A37" s="1"/>
      <c r="B37" s="101" t="s">
        <v>218</v>
      </c>
      <c r="C37" s="102"/>
      <c r="D37" s="116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-21718930.313411169</v>
      </c>
      <c r="F37" s="17" t="s">
        <v>3</v>
      </c>
      <c r="G37" s="1"/>
    </row>
    <row r="38" spans="1:7" x14ac:dyDescent="0.25">
      <c r="A38" s="1"/>
      <c r="B38" s="103"/>
      <c r="C38" s="104"/>
      <c r="D38" s="104"/>
      <c r="E38" s="104"/>
      <c r="F38" s="105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03" t="s">
        <v>136</v>
      </c>
      <c r="C40" s="104"/>
      <c r="D40" s="104"/>
      <c r="E40" s="104"/>
      <c r="F40" s="105"/>
      <c r="G40" s="1"/>
    </row>
    <row r="41" spans="1:7" x14ac:dyDescent="0.25">
      <c r="A41" s="1"/>
      <c r="B41" s="109" t="s">
        <v>40</v>
      </c>
      <c r="C41" s="110"/>
      <c r="D41" s="111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-33380176.467536449</v>
      </c>
      <c r="F41" s="14" t="s">
        <v>3</v>
      </c>
      <c r="G41" s="1"/>
    </row>
    <row r="42" spans="1:7" x14ac:dyDescent="0.25">
      <c r="A42" s="1"/>
      <c r="B42" s="109" t="s">
        <v>132</v>
      </c>
      <c r="C42" s="110"/>
      <c r="D42" s="111"/>
      <c r="E42" s="9">
        <v>4</v>
      </c>
      <c r="F42" s="14" t="s">
        <v>19</v>
      </c>
      <c r="G42" s="1"/>
    </row>
    <row r="43" spans="1:7" x14ac:dyDescent="0.25">
      <c r="A43" s="1"/>
      <c r="B43" s="101" t="s">
        <v>220</v>
      </c>
      <c r="C43" s="102"/>
      <c r="D43" s="116"/>
      <c r="E43" s="10">
        <f>E41/E42</f>
        <v>-8345044.1168841124</v>
      </c>
      <c r="F43" s="17" t="s">
        <v>3</v>
      </c>
      <c r="G43" s="1"/>
    </row>
    <row r="44" spans="1:7" x14ac:dyDescent="0.25">
      <c r="A44" s="1"/>
      <c r="B44" s="103"/>
      <c r="C44" s="104"/>
      <c r="D44" s="104"/>
      <c r="E44" s="104"/>
      <c r="F44" s="105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96BqOj3/WeUG66IlrErGRiWarb9z527GOWxZrSt5Fvo8sRyNgj68ipRPv951Mb3OVUjdqf5DHjD+/18fsbBGqw==" saltValue="0x2fPMlXj0laVjLafnHlCQ==" spinCount="100000" sheet="1" objects="1" scenarios="1"/>
  <mergeCells count="31"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231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211</v>
      </c>
      <c r="C8" s="104"/>
      <c r="D8" s="104"/>
      <c r="E8" s="104"/>
      <c r="F8" s="104"/>
      <c r="G8" s="104"/>
      <c r="H8" s="10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51"/>
      <c r="I9" s="1"/>
    </row>
    <row r="10" spans="1:9" ht="39" x14ac:dyDescent="0.25">
      <c r="A10" s="1"/>
      <c r="B10" s="54" t="s">
        <v>256</v>
      </c>
      <c r="C10" s="55" t="s">
        <v>257</v>
      </c>
      <c r="D10" s="9">
        <v>419568</v>
      </c>
      <c r="E10" s="9">
        <f>IFERROR(D10/C10,0)</f>
        <v>13985.6</v>
      </c>
      <c r="F10" s="9">
        <v>0</v>
      </c>
      <c r="G10" s="9">
        <v>2539</v>
      </c>
      <c r="H10" s="14" t="s">
        <v>3</v>
      </c>
      <c r="I10" s="1"/>
    </row>
    <row r="11" spans="1:9" x14ac:dyDescent="0.25">
      <c r="A11" s="1"/>
      <c r="B11" s="54" t="s">
        <v>258</v>
      </c>
      <c r="C11" s="55" t="s">
        <v>259</v>
      </c>
      <c r="D11" s="9">
        <v>1270100</v>
      </c>
      <c r="E11" s="9">
        <f t="shared" ref="E11:E12" si="0">IFERROR(D11/C11,0)</f>
        <v>127010</v>
      </c>
      <c r="F11" s="9">
        <v>0</v>
      </c>
      <c r="G11" s="9">
        <v>7686</v>
      </c>
      <c r="H11" s="14" t="s">
        <v>3</v>
      </c>
      <c r="I11" s="1"/>
    </row>
    <row r="12" spans="1:9" x14ac:dyDescent="0.25">
      <c r="A12" s="1"/>
      <c r="B12" s="54" t="s">
        <v>260</v>
      </c>
      <c r="C12" s="55" t="s">
        <v>261</v>
      </c>
      <c r="D12" s="9">
        <v>120565</v>
      </c>
      <c r="E12" s="9">
        <f t="shared" si="0"/>
        <v>24113</v>
      </c>
      <c r="F12" s="9">
        <v>0</v>
      </c>
      <c r="G12" s="9">
        <v>730</v>
      </c>
      <c r="H12" s="14" t="s">
        <v>3</v>
      </c>
      <c r="I12" s="1"/>
    </row>
    <row r="13" spans="1:9" x14ac:dyDescent="0.25">
      <c r="A13" s="1"/>
      <c r="B13" s="103" t="s">
        <v>212</v>
      </c>
      <c r="C13" s="104"/>
      <c r="D13" s="105"/>
      <c r="E13" s="12">
        <f>SUM(E10:E12)</f>
        <v>165108.6</v>
      </c>
      <c r="F13" s="12">
        <f t="shared" ref="F13:G13" si="1">SUM(F10:F12)</f>
        <v>0</v>
      </c>
      <c r="G13" s="12">
        <f t="shared" si="1"/>
        <v>10955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U/24GMppL3yXMmBYqW6ZjK4mh1mq3WOpVC0GjhZeTuJ+YZvBkOQbSMQ0PRacU2Fl7RE3ZQG07mcjCYTM8rtgg==" saltValue="O0dii0tX1uyTCpOKPFDRiQ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236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98</v>
      </c>
      <c r="C8" s="49"/>
      <c r="D8" s="49"/>
      <c r="E8" s="49"/>
      <c r="F8" s="20"/>
      <c r="G8" s="1"/>
    </row>
    <row r="9" spans="1:7" ht="17.25" customHeight="1" x14ac:dyDescent="0.25">
      <c r="A9" s="1"/>
      <c r="B9" s="42" t="s">
        <v>16</v>
      </c>
      <c r="C9" s="42" t="s">
        <v>11</v>
      </c>
      <c r="D9" s="43"/>
      <c r="E9" s="42" t="s">
        <v>34</v>
      </c>
      <c r="F9" s="51"/>
      <c r="G9" s="1"/>
    </row>
    <row r="10" spans="1:7" x14ac:dyDescent="0.25">
      <c r="A10" s="1"/>
      <c r="B10" s="25" t="s">
        <v>213</v>
      </c>
      <c r="C10" s="22">
        <f>'Fane 8. Anlægsprojekter'!F13</f>
        <v>0</v>
      </c>
      <c r="D10" s="14" t="s">
        <v>3</v>
      </c>
      <c r="E10" s="9">
        <f>SUM('Fane 8. Anlægsprojekter'!E13,'Fane 8. Anlægsprojekter'!G13)</f>
        <v>176063.6</v>
      </c>
      <c r="F10" s="14" t="s">
        <v>3</v>
      </c>
      <c r="G10" s="1"/>
    </row>
    <row r="11" spans="1:7" x14ac:dyDescent="0.25">
      <c r="A11" s="1"/>
      <c r="B11" s="25" t="s">
        <v>252</v>
      </c>
      <c r="C11" s="22">
        <v>4468241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56" t="s">
        <v>253</v>
      </c>
      <c r="C12" s="22">
        <v>0</v>
      </c>
      <c r="D12" s="14" t="s">
        <v>3</v>
      </c>
      <c r="E12" s="9">
        <v>780348</v>
      </c>
      <c r="F12" s="14" t="s">
        <v>3</v>
      </c>
      <c r="G12" s="1"/>
    </row>
    <row r="13" spans="1:7" x14ac:dyDescent="0.25">
      <c r="A13" s="1"/>
      <c r="B13" s="25" t="s">
        <v>254</v>
      </c>
      <c r="C13" s="22">
        <v>7872892</v>
      </c>
      <c r="D13" s="14" t="s">
        <v>3</v>
      </c>
      <c r="E13" s="9">
        <v>123324</v>
      </c>
      <c r="F13" s="14" t="s">
        <v>3</v>
      </c>
      <c r="G13" s="1"/>
    </row>
    <row r="14" spans="1:7" x14ac:dyDescent="0.25">
      <c r="A14" s="1"/>
      <c r="B14" s="48" t="s">
        <v>48</v>
      </c>
      <c r="C14" s="12">
        <f>SUM(C10:C13)</f>
        <v>12341133</v>
      </c>
      <c r="D14" s="13" t="s">
        <v>3</v>
      </c>
      <c r="E14" s="12">
        <f>SUM(E10:E13)</f>
        <v>1079735.6000000001</v>
      </c>
      <c r="F14" s="13" t="s">
        <v>3</v>
      </c>
      <c r="G14" s="1"/>
    </row>
    <row r="15" spans="1:7" x14ac:dyDescent="0.25">
      <c r="A15" s="1"/>
      <c r="B15" s="48" t="s">
        <v>196</v>
      </c>
      <c r="C15" s="12">
        <f>C14*(1+'Fane 12. Nøgletal'!C13)</f>
        <v>12491694.8226</v>
      </c>
      <c r="D15" s="13" t="s">
        <v>3</v>
      </c>
      <c r="E15" s="12">
        <f>E14*(1+'Fane 12. Nøgletal'!C13)</f>
        <v>1092908.3743200002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Yku524VoXKdGrG+pTGSteIzkBfaQG+d1cNfP8i9nJwnU7bP/Tn2uPLcWIKqeifGLTvWah1BnQkJRtue+PiqYzA==" saltValue="Dg0xzS0oyUrEcG62B0wE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235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3" t="s">
        <v>122</v>
      </c>
      <c r="C8" s="104"/>
      <c r="D8" s="104"/>
      <c r="E8" s="104"/>
      <c r="F8" s="105"/>
      <c r="G8" s="1"/>
    </row>
    <row r="9" spans="1:7" x14ac:dyDescent="0.25">
      <c r="A9" s="1"/>
      <c r="B9" s="42" t="s">
        <v>16</v>
      </c>
      <c r="C9" s="42" t="s">
        <v>11</v>
      </c>
      <c r="D9" s="43"/>
      <c r="E9" s="42" t="s">
        <v>34</v>
      </c>
      <c r="F9" s="51"/>
      <c r="G9" s="1"/>
    </row>
    <row r="10" spans="1:7" x14ac:dyDescent="0.25">
      <c r="A10" s="1"/>
      <c r="B10" s="25" t="s">
        <v>255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3" t="s">
        <v>123</v>
      </c>
      <c r="C16" s="104"/>
      <c r="D16" s="104"/>
      <c r="E16" s="104"/>
      <c r="F16" s="105"/>
      <c r="G16" s="1"/>
    </row>
    <row r="17" spans="1:7" x14ac:dyDescent="0.25">
      <c r="A17" s="1"/>
      <c r="B17" s="42" t="s">
        <v>16</v>
      </c>
      <c r="C17" s="42" t="s">
        <v>11</v>
      </c>
      <c r="D17" s="43"/>
      <c r="E17" s="42" t="s">
        <v>34</v>
      </c>
      <c r="F17" s="51"/>
      <c r="G17" s="1"/>
    </row>
    <row r="18" spans="1:7" x14ac:dyDescent="0.25">
      <c r="A18" s="1"/>
      <c r="B18" s="25" t="s">
        <v>255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3" t="s">
        <v>124</v>
      </c>
      <c r="C24" s="104"/>
      <c r="D24" s="104"/>
      <c r="E24" s="104"/>
      <c r="F24" s="105"/>
      <c r="G24" s="1"/>
    </row>
    <row r="25" spans="1:7" x14ac:dyDescent="0.25">
      <c r="A25" s="1"/>
      <c r="B25" s="42" t="s">
        <v>16</v>
      </c>
      <c r="C25" s="42" t="s">
        <v>11</v>
      </c>
      <c r="D25" s="43"/>
      <c r="E25" s="42" t="s">
        <v>34</v>
      </c>
      <c r="F25" s="51"/>
      <c r="G25" s="1"/>
    </row>
    <row r="26" spans="1:7" x14ac:dyDescent="0.25">
      <c r="A26" s="1"/>
      <c r="B26" s="25" t="s">
        <v>255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3" t="s">
        <v>179</v>
      </c>
      <c r="C32" s="104"/>
      <c r="D32" s="104"/>
      <c r="E32" s="104"/>
      <c r="F32" s="105"/>
      <c r="G32" s="1"/>
    </row>
    <row r="33" spans="1:7" x14ac:dyDescent="0.25">
      <c r="A33" s="1"/>
      <c r="B33" s="42" t="s">
        <v>16</v>
      </c>
      <c r="C33" s="42" t="s">
        <v>11</v>
      </c>
      <c r="D33" s="43"/>
      <c r="E33" s="42" t="s">
        <v>34</v>
      </c>
      <c r="F33" s="51"/>
      <c r="G33" s="1"/>
    </row>
    <row r="34" spans="1:7" x14ac:dyDescent="0.25">
      <c r="A34" s="1"/>
      <c r="B34" s="25" t="s">
        <v>255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VNFhDI53G+lcvesUYPX/+tvhbtB4UV4I6LTeCgbmYInAznbL2df277/JLjfjXNcnqHgUneG7M4GXFjPncH5gQ==" saltValue="fcrr3Ih+d8CSBooiB272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234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3" t="s">
        <v>180</v>
      </c>
      <c r="C8" s="104"/>
      <c r="D8" s="104"/>
      <c r="E8" s="104"/>
      <c r="F8" s="105"/>
      <c r="G8" s="1"/>
    </row>
    <row r="9" spans="1:7" ht="15" customHeight="1" x14ac:dyDescent="0.25">
      <c r="A9" s="1"/>
      <c r="B9" s="50" t="s">
        <v>181</v>
      </c>
      <c r="C9" s="95" t="s">
        <v>11</v>
      </c>
      <c r="D9" s="97"/>
      <c r="E9" s="95" t="s">
        <v>34</v>
      </c>
      <c r="F9" s="97"/>
      <c r="G9" s="1"/>
    </row>
    <row r="10" spans="1:7" x14ac:dyDescent="0.25">
      <c r="A10" s="1"/>
      <c r="B10" s="25" t="s">
        <v>250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Rkyd6Z33nWVIhx9xCV7Zd2nagAIP3lYDy5fGhZi3Fo1DSbqaOuddBm8ss+anFgUoT2h3i9pChUhUTK5pjBBbw==" saltValue="FVrSloXQyy9AUwReLhTM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233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3" t="s">
        <v>115</v>
      </c>
      <c r="C8" s="104"/>
      <c r="D8" s="104"/>
      <c r="E8" s="104"/>
      <c r="F8" s="105"/>
      <c r="G8" s="1"/>
    </row>
    <row r="9" spans="1:7" ht="15" customHeight="1" x14ac:dyDescent="0.25">
      <c r="A9" s="1"/>
      <c r="B9" s="50" t="s">
        <v>17</v>
      </c>
      <c r="C9" s="50" t="s">
        <v>11</v>
      </c>
      <c r="D9" s="51"/>
      <c r="E9" s="50" t="s">
        <v>34</v>
      </c>
      <c r="F9" s="51"/>
      <c r="G9" s="1"/>
    </row>
    <row r="10" spans="1:7" x14ac:dyDescent="0.25">
      <c r="A10" s="1"/>
      <c r="B10" s="25" t="s">
        <v>251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3" t="s">
        <v>114</v>
      </c>
      <c r="C14" s="104"/>
      <c r="D14" s="104"/>
      <c r="E14" s="104"/>
      <c r="F14" s="105"/>
      <c r="G14" s="1"/>
    </row>
    <row r="15" spans="1:7" ht="26.25" x14ac:dyDescent="0.25">
      <c r="A15" s="1"/>
      <c r="B15" s="50" t="s">
        <v>17</v>
      </c>
      <c r="C15" s="50" t="s">
        <v>11</v>
      </c>
      <c r="D15" s="51"/>
      <c r="E15" s="50" t="s">
        <v>34</v>
      </c>
      <c r="F15" s="51"/>
      <c r="G15" s="1"/>
    </row>
    <row r="16" spans="1:7" x14ac:dyDescent="0.25">
      <c r="A16" s="1"/>
      <c r="B16" s="25" t="s">
        <v>251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8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8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3" t="s">
        <v>116</v>
      </c>
      <c r="C20" s="104"/>
      <c r="D20" s="104"/>
      <c r="E20" s="104"/>
      <c r="F20" s="105"/>
      <c r="G20" s="1"/>
    </row>
    <row r="21" spans="1:7" ht="26.25" x14ac:dyDescent="0.25">
      <c r="A21" s="1"/>
      <c r="B21" s="50" t="s">
        <v>17</v>
      </c>
      <c r="C21" s="50" t="s">
        <v>11</v>
      </c>
      <c r="D21" s="51"/>
      <c r="E21" s="50" t="s">
        <v>34</v>
      </c>
      <c r="F21" s="51"/>
      <c r="G21" s="1"/>
    </row>
    <row r="22" spans="1:7" x14ac:dyDescent="0.25">
      <c r="A22" s="1"/>
      <c r="B22" s="25" t="s">
        <v>251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8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8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3" t="s">
        <v>183</v>
      </c>
      <c r="C26" s="104"/>
      <c r="D26" s="104"/>
      <c r="E26" s="104"/>
      <c r="F26" s="105"/>
      <c r="G26" s="1"/>
    </row>
    <row r="27" spans="1:7" ht="26.25" x14ac:dyDescent="0.25">
      <c r="A27" s="1"/>
      <c r="B27" s="50" t="s">
        <v>17</v>
      </c>
      <c r="C27" s="50" t="s">
        <v>11</v>
      </c>
      <c r="D27" s="51"/>
      <c r="E27" s="50" t="s">
        <v>34</v>
      </c>
      <c r="F27" s="51"/>
      <c r="G27" s="1"/>
    </row>
    <row r="28" spans="1:7" x14ac:dyDescent="0.25">
      <c r="A28" s="1"/>
      <c r="B28" s="25" t="s">
        <v>251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8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8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Tn4Pp92um9PGKbWoH7Vz6PvSg7OdUHLZ5A+xW2adNSizTEV/f4EOyhVC0gboTkIDlzC1xRsypb7gKBNlvR60A==" saltValue="62+iduOqgckya3eH0Dxj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232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2" t="s">
        <v>147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128</v>
      </c>
      <c r="C17" s="20"/>
      <c r="D17" s="1"/>
    </row>
    <row r="18" spans="1:4" x14ac:dyDescent="0.25">
      <c r="A18" s="1"/>
      <c r="B18" s="52" t="s">
        <v>149</v>
      </c>
      <c r="C18" s="23">
        <v>9.1000000000000004E-3</v>
      </c>
      <c r="D18" s="1"/>
    </row>
    <row r="19" spans="1:4" x14ac:dyDescent="0.25">
      <c r="A19" s="1"/>
      <c r="B19" s="52" t="s">
        <v>150</v>
      </c>
      <c r="C19" s="23">
        <v>1.77E-2</v>
      </c>
      <c r="D19" s="1"/>
    </row>
    <row r="20" spans="1:4" x14ac:dyDescent="0.25">
      <c r="A20" s="1"/>
      <c r="B20" s="52" t="s">
        <v>152</v>
      </c>
      <c r="C20" s="23">
        <v>8.6999999999999994E-3</v>
      </c>
      <c r="D20" s="1"/>
    </row>
    <row r="21" spans="1:4" x14ac:dyDescent="0.25">
      <c r="A21" s="1"/>
      <c r="B21" s="52" t="s">
        <v>151</v>
      </c>
      <c r="C21" s="32">
        <v>2.8400000000000002E-2</v>
      </c>
      <c r="D21" s="1"/>
    </row>
    <row r="22" spans="1:4" x14ac:dyDescent="0.25">
      <c r="A22" s="1"/>
      <c r="B22" s="52" t="s">
        <v>192</v>
      </c>
      <c r="C22" s="32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129</v>
      </c>
      <c r="C26" s="20"/>
      <c r="D26" s="1"/>
    </row>
    <row r="27" spans="1:4" x14ac:dyDescent="0.25">
      <c r="A27" s="1"/>
      <c r="B27" s="52" t="s">
        <v>153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N+oFOaUSSwd6Y7AtFSsfORls6LJDpVbhpGSovVWNKUBkOjuLktB+3fVSenihczg0mzqxO9h1NuCHnn55vS3PA==" saltValue="iCias2kkktFBfvwnpl2B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47" t="s">
        <v>25</v>
      </c>
      <c r="C9" s="7">
        <f>'Fane 3. Omkostninger i ØR2020'!E20</f>
        <v>310504816.24076438</v>
      </c>
      <c r="D9" s="8" t="s">
        <v>3</v>
      </c>
      <c r="E9" s="1"/>
    </row>
    <row r="10" spans="1:5" x14ac:dyDescent="0.25">
      <c r="A10" s="1"/>
      <c r="B10" s="40" t="s">
        <v>190</v>
      </c>
      <c r="C10" s="7">
        <f>(SUM('Fane 3. Omkostninger i ØR2020'!E10,'Fane 3. Omkostninger i ØR2020'!E14,'Fane 3. Omkostninger i ØR2020'!E12)*(1+'Fane 12. Nøgletal'!C12)*(1-'Fane 12. Nøgletal'!C27-'Fane 5. Individuelt eff. krav'!G10))</f>
        <v>2576715.7103960579</v>
      </c>
      <c r="D10" s="8" t="s">
        <v>3</v>
      </c>
      <c r="E10" s="1"/>
    </row>
    <row r="11" spans="1:5" x14ac:dyDescent="0.25">
      <c r="A11" s="1"/>
      <c r="B11" s="40" t="s">
        <v>191</v>
      </c>
      <c r="C11" s="7">
        <f>(SUM('Fane 3. Omkostninger i ØR2020'!E11,'Fane 3. Omkostninger i ØR2020'!E13,'Fane 3. Omkostninger i ØR2020'!E15))*(1+'Fane 12. Nøgletal'!C12)*(1-'Fane 12. Nøgletal'!C21-'Fane 5. Individuelt eff. krav'!G10)</f>
        <v>1888703.4969955401</v>
      </c>
      <c r="D11" s="8" t="s">
        <v>3</v>
      </c>
      <c r="E11" s="1"/>
    </row>
    <row r="12" spans="1:5" ht="17.100000000000001" customHeight="1" x14ac:dyDescent="0.25">
      <c r="A12" s="1"/>
      <c r="B12" s="44" t="s">
        <v>45</v>
      </c>
      <c r="C12" s="7">
        <f>'Fane 9.1. Varige tillæg'!C15</f>
        <v>12491694.8226</v>
      </c>
      <c r="D12" s="8" t="s">
        <v>3</v>
      </c>
      <c r="E12" s="1"/>
    </row>
    <row r="13" spans="1:5" ht="17.100000000000001" customHeight="1" x14ac:dyDescent="0.25">
      <c r="A13" s="1"/>
      <c r="B13" s="44" t="s">
        <v>46</v>
      </c>
      <c r="C13" s="9">
        <f>'Fane 9.1. Varige tillæg'!E15</f>
        <v>1092908.3743200002</v>
      </c>
      <c r="D13" s="8" t="s">
        <v>3</v>
      </c>
      <c r="E13" s="1"/>
    </row>
    <row r="14" spans="1:5" ht="17.100000000000001" customHeight="1" x14ac:dyDescent="0.25">
      <c r="A14" s="1"/>
      <c r="B14" s="44" t="s">
        <v>30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44" t="s">
        <v>29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44" t="s">
        <v>162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44" t="s">
        <v>163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44" t="s">
        <v>18</v>
      </c>
      <c r="C18" s="9">
        <f>(C9-SUM(C10:C11))*'Fane 12. Nøgletal'!C11+SUM(C10:C11)*'Fane 12. Nøgletal'!C12+SUM(C12:C17)*'Fane 12. Nøgletal'!C13</f>
        <v>5425766.7272520382</v>
      </c>
      <c r="D18" s="8" t="s">
        <v>3</v>
      </c>
      <c r="E18" s="1"/>
    </row>
    <row r="19" spans="1:5" ht="17.100000000000001" customHeight="1" x14ac:dyDescent="0.25">
      <c r="A19" s="1"/>
      <c r="B19" s="44" t="s">
        <v>9</v>
      </c>
      <c r="C19" s="9">
        <f>-SUM(C9:C18)*'Fane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44" t="s">
        <v>27</v>
      </c>
      <c r="C20" s="9">
        <f>-'Fane 4.1. Gen. krav - drift'!G33</f>
        <v>-4129027.6104418235</v>
      </c>
      <c r="D20" s="8" t="s">
        <v>3</v>
      </c>
      <c r="E20" s="1"/>
    </row>
    <row r="21" spans="1:5" ht="17.100000000000001" customHeight="1" x14ac:dyDescent="0.25">
      <c r="A21" s="1"/>
      <c r="B21" s="44" t="s">
        <v>28</v>
      </c>
      <c r="C21" s="9">
        <f>-'Fane 4.2. Gen. krav - anlæg'!G33</f>
        <v>-1134792.2401147154</v>
      </c>
      <c r="D21" s="8" t="s">
        <v>3</v>
      </c>
      <c r="E21" s="1"/>
    </row>
    <row r="22" spans="1:5" ht="17.100000000000001" customHeight="1" x14ac:dyDescent="0.25">
      <c r="A22" s="1"/>
      <c r="B22" s="45" t="s">
        <v>20</v>
      </c>
      <c r="C22" s="10">
        <f>SUM(C9,C12:C21)</f>
        <v>324251366.31437993</v>
      </c>
      <c r="D22" s="11" t="s">
        <v>3</v>
      </c>
      <c r="E22" s="1"/>
    </row>
    <row r="23" spans="1:5" ht="15" customHeight="1" x14ac:dyDescent="0.25">
      <c r="A23" s="1"/>
      <c r="B23" s="48" t="s">
        <v>12</v>
      </c>
      <c r="C23" s="49"/>
      <c r="D23" s="20"/>
      <c r="E23" s="1"/>
    </row>
    <row r="24" spans="1:5" ht="15" customHeight="1" x14ac:dyDescent="0.25">
      <c r="A24" s="1"/>
      <c r="B24" s="50" t="s">
        <v>12</v>
      </c>
      <c r="C24" s="10">
        <f>'Fane 6. Ikke-påvirkelige omk.'!C15</f>
        <v>246006408.57260075</v>
      </c>
      <c r="D24" s="11" t="s">
        <v>3</v>
      </c>
      <c r="E24" s="1"/>
    </row>
    <row r="25" spans="1:5" ht="15" customHeight="1" x14ac:dyDescent="0.25">
      <c r="A25" s="1"/>
      <c r="B25" s="48" t="s">
        <v>103</v>
      </c>
      <c r="C25" s="49"/>
      <c r="D25" s="20"/>
      <c r="E25" s="1"/>
    </row>
    <row r="26" spans="1:5" ht="15" customHeight="1" x14ac:dyDescent="0.25">
      <c r="A26" s="1"/>
      <c r="B26" s="44" t="s">
        <v>99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44" t="s">
        <v>100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45" t="s">
        <v>104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4" t="s">
        <v>224</v>
      </c>
      <c r="C29" s="49"/>
      <c r="D29" s="20"/>
      <c r="E29" s="1"/>
    </row>
    <row r="30" spans="1:5" x14ac:dyDescent="0.25">
      <c r="A30" s="1"/>
      <c r="B30" s="35" t="s">
        <v>225</v>
      </c>
      <c r="C30" s="10">
        <f>'Fane 7. Kontrol af ØR2019'!E37</f>
        <v>-21718930.313411169</v>
      </c>
      <c r="D30" s="11" t="s">
        <v>3</v>
      </c>
      <c r="E30" s="1"/>
    </row>
    <row r="31" spans="1:5" x14ac:dyDescent="0.25">
      <c r="A31" s="1"/>
      <c r="B31" s="48" t="s">
        <v>31</v>
      </c>
      <c r="C31" s="12">
        <f>SUM(C22,C24,C28,C30)</f>
        <v>548538844.57356954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KhWLtuZmJvTL+x2H+AXcVtcK6PqkkrF0N7VuuqhEEtUnqLj35PkjQp1J1WHcq6Dw2IhrOODFkCPp0CTx4Fj+Q==" saltValue="kHToy//xy5yS28C2smgb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/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47" t="s">
        <v>26</v>
      </c>
      <c r="C9" s="7">
        <f>'Fane 2.1. Økonomisk ramme 2021'!C22</f>
        <v>324251366.31437993</v>
      </c>
      <c r="D9" s="8" t="s">
        <v>3</v>
      </c>
      <c r="E9" s="1"/>
    </row>
    <row r="10" spans="1:5" ht="15" customHeight="1" x14ac:dyDescent="0.25">
      <c r="A10" s="1"/>
      <c r="B10" s="47" t="s">
        <v>214</v>
      </c>
      <c r="C10" s="7">
        <f>'Fane 2.1. Økonomisk ramme 2021'!C10*(1-'Fane 12. Nøgletal'!C27)*(1+'Fane 12. Nøgletal'!C12)</f>
        <v>2574927.4696930433</v>
      </c>
      <c r="D10" s="8" t="s">
        <v>3</v>
      </c>
      <c r="E10" s="1"/>
    </row>
    <row r="11" spans="1:5" ht="15" customHeight="1" x14ac:dyDescent="0.25">
      <c r="A11" s="1"/>
      <c r="B11" s="47" t="s">
        <v>215</v>
      </c>
      <c r="C11" s="7">
        <f>'Fane 2.1. Økonomisk ramme 2021'!C11*(1-'Fane 12. Nøgletal'!C21)*(1+'Fane 12. Nøgletal'!C12)</f>
        <v>1871215.0847391798</v>
      </c>
      <c r="D11" s="8" t="s">
        <v>3</v>
      </c>
      <c r="E11" s="1"/>
    </row>
    <row r="12" spans="1:5" ht="15" customHeight="1" x14ac:dyDescent="0.25">
      <c r="A12" s="1"/>
      <c r="B12" s="53" t="s">
        <v>165</v>
      </c>
      <c r="C12" s="7">
        <f>('Fane 2.1. Økonomisk ramme 2021'!C12+'Fane 2.1. Økonomisk ramme 2021'!C14+'Fane 2.1. Økonomisk ramme 2021'!C16)*(1-'Fane 12. Nøgletal'!C27-'Fane 5. Individuelt eff. krav'!G10)*(1+'Fane 12. Nøgletal'!C13)</f>
        <v>12391211.629447004</v>
      </c>
      <c r="D12" s="8" t="s">
        <v>3</v>
      </c>
      <c r="E12" s="1"/>
    </row>
    <row r="13" spans="1:5" ht="15" customHeight="1" x14ac:dyDescent="0.25">
      <c r="A13" s="1"/>
      <c r="B13" s="53" t="s">
        <v>166</v>
      </c>
      <c r="C13" s="7">
        <f>('Fane 2.1. Økonomisk ramme 2021'!C13+'Fane 2.1. Økonomisk ramme 2021'!C15+'Fane 2.1. Økonomisk ramme 2021'!C17)*(1-'Fane 12. Nøgletal'!C22-'Fane 5. Individuelt eff. krav'!G10)*(1+'Fane 12. Nøgletal'!C13)</f>
        <v>1075820.20543332</v>
      </c>
      <c r="D13" s="8" t="s">
        <v>3</v>
      </c>
      <c r="E13" s="1"/>
    </row>
    <row r="14" spans="1:5" ht="15" customHeight="1" x14ac:dyDescent="0.25">
      <c r="A14" s="1"/>
      <c r="B14" s="44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4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40" t="s">
        <v>18</v>
      </c>
      <c r="C16" s="9">
        <f>(C9-SUM(C10:C13))*'Fane 12. Nøgletal'!C11+SUM(C10:C11)*'Fane 12. Nøgletal'!C12+SUM(C12:C15)*'Fane 12. Nøgletal'!C13</f>
        <v>5429002.2402414922</v>
      </c>
      <c r="D16" s="8" t="s">
        <v>3</v>
      </c>
      <c r="E16" s="1"/>
    </row>
    <row r="17" spans="1:5" ht="15" customHeight="1" x14ac:dyDescent="0.25">
      <c r="A17" s="1"/>
      <c r="B17" s="40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0" t="s">
        <v>27</v>
      </c>
      <c r="C18" s="9">
        <f>-'Fane 4.1. Gen. krav - drift'!G41</f>
        <v>-4113811.4355622591</v>
      </c>
      <c r="D18" s="8" t="s">
        <v>3</v>
      </c>
      <c r="E18" s="1"/>
    </row>
    <row r="19" spans="1:5" x14ac:dyDescent="0.25">
      <c r="A19" s="1"/>
      <c r="B19" s="40" t="s">
        <v>28</v>
      </c>
      <c r="C19" s="9">
        <f>-'Fane 4.2. Gen. krav - anlæg'!G41</f>
        <v>-1142263.1260778212</v>
      </c>
      <c r="D19" s="8" t="s">
        <v>3</v>
      </c>
      <c r="E19" s="1"/>
    </row>
    <row r="20" spans="1:5" ht="15" customHeight="1" x14ac:dyDescent="0.25">
      <c r="A20" s="1"/>
      <c r="B20" s="41" t="s">
        <v>20</v>
      </c>
      <c r="C20" s="10">
        <f>SUM(C9,C14:C19)</f>
        <v>324424293.99298131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50" t="s">
        <v>12</v>
      </c>
      <c r="C22" s="10">
        <f>'Fane 6. Ikke-påvirkelige omk.'!C15*(1+'Fane 12. Nøgletal'!C13)</f>
        <v>249007686.75718647</v>
      </c>
      <c r="D22" s="11" t="s">
        <v>3</v>
      </c>
      <c r="E22" s="1"/>
    </row>
    <row r="23" spans="1:5" ht="15" customHeight="1" x14ac:dyDescent="0.25">
      <c r="A23" s="1"/>
      <c r="B23" s="48" t="s">
        <v>103</v>
      </c>
      <c r="C23" s="49"/>
      <c r="D23" s="20"/>
      <c r="E23" s="1"/>
    </row>
    <row r="24" spans="1:5" ht="15" customHeight="1" x14ac:dyDescent="0.25">
      <c r="A24" s="1"/>
      <c r="B24" s="44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4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45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9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-21718930.313411169</v>
      </c>
      <c r="D28" s="11" t="s">
        <v>3</v>
      </c>
      <c r="E28" s="1"/>
    </row>
    <row r="29" spans="1:5" x14ac:dyDescent="0.25">
      <c r="A29" s="1"/>
      <c r="B29" s="48" t="s">
        <v>32</v>
      </c>
      <c r="C29" s="12">
        <f>SUM(C20,C22,C26,C28)</f>
        <v>551713050.43675673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mEaH4O5Pe9qpCRAiKfGGs4vO5mG/u4B/LkinAI92VQ5Zq8FxtNnPKaPaTbgQN/yImFpje3y7H7Wf0C4osuQ==" saltValue="8T08z5dWRl5CE2q565TD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167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21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47" t="s">
        <v>168</v>
      </c>
      <c r="C8" s="7">
        <f>'Fane 2.2. Økonomisk ramme 2022'!C20</f>
        <v>324424293.99298131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3957976.3867143723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drift'!G47</f>
        <v>-4080719.9363745963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anlæg'!G47</f>
        <v>-3437089.5617073462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SUM(C8,C9:C14)</f>
        <v>320864460.88161379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50" t="s">
        <v>12</v>
      </c>
      <c r="C17" s="10">
        <f>'Fane 6. Ikke-påvirkelige omk.'!C15*(1+'Fane 12. Nøgletal'!C13)^2</f>
        <v>252045580.53562415</v>
      </c>
      <c r="D17" s="11" t="s">
        <v>3</v>
      </c>
      <c r="E17" s="1"/>
    </row>
    <row r="18" spans="1:5" ht="15" customHeight="1" x14ac:dyDescent="0.25">
      <c r="A18" s="1"/>
      <c r="B18" s="48" t="s">
        <v>103</v>
      </c>
      <c r="C18" s="49"/>
      <c r="D18" s="20"/>
      <c r="E18" s="1"/>
    </row>
    <row r="19" spans="1:5" ht="15" customHeight="1" x14ac:dyDescent="0.25">
      <c r="A19" s="1"/>
      <c r="B19" s="44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4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5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9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-8345044.1168841124</v>
      </c>
      <c r="D23" s="11" t="s">
        <v>3</v>
      </c>
      <c r="E23" s="1"/>
    </row>
    <row r="24" spans="1:5" x14ac:dyDescent="0.25">
      <c r="A24" s="1"/>
      <c r="B24" s="48" t="s">
        <v>113</v>
      </c>
      <c r="C24" s="12">
        <f>SUM(C15,C17,C21,C23)</f>
        <v>564564997.30035388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XT9PXEyTHgKhTVfMiEEDcDuq2/6SsWvUypXHF2hNYYJbzZSeLGULj6tON9m1PV0XgO0nDPC0FhOaJgtUZeFEA==" saltValue="XCAh5qEuwojYQaVsUvV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169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21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47" t="s">
        <v>170</v>
      </c>
      <c r="C8" s="7">
        <f>'Fane 2.3. Økonomisk ramme 2023'!C15</f>
        <v>320864460.88161379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3914546.4227556884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drift'!G55</f>
        <v>-4047894.6252063992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anlæg'!G54</f>
        <v>-3383348.947865271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317347763.73129779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50" t="s">
        <v>12</v>
      </c>
      <c r="C17" s="10">
        <f>'Fane 6. Ikke-påvirkelige omk.'!C15*(1+'Fane 12. Nøgletal'!C13)^3</f>
        <v>255120536.61815879</v>
      </c>
      <c r="D17" s="11" t="s">
        <v>3</v>
      </c>
      <c r="E17" s="1"/>
    </row>
    <row r="18" spans="1:5" ht="15" customHeight="1" x14ac:dyDescent="0.25">
      <c r="A18" s="1"/>
      <c r="B18" s="48" t="s">
        <v>103</v>
      </c>
      <c r="C18" s="49"/>
      <c r="D18" s="20"/>
      <c r="E18" s="1"/>
    </row>
    <row r="19" spans="1:5" ht="15" customHeight="1" x14ac:dyDescent="0.25">
      <c r="A19" s="1"/>
      <c r="B19" s="44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4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5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9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-8345044.1168841124</v>
      </c>
      <c r="D23" s="11" t="s">
        <v>3</v>
      </c>
      <c r="E23" s="1"/>
    </row>
    <row r="24" spans="1:5" x14ac:dyDescent="0.25">
      <c r="A24" s="1"/>
      <c r="B24" s="48" t="s">
        <v>171</v>
      </c>
      <c r="C24" s="12">
        <f>SUM(C15,C17,C21,C23)</f>
        <v>564123256.23257244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oy6fivkXEEcdI3/rIjP8D62MTqqzttYnRclqxMxz4uwEpdtPqyGXooaiQrzhkVCEp6UVXTshXh8TKXBFXHWAg==" saltValue="bUgTviDR8i0s/EOXlSjk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172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173</v>
      </c>
      <c r="C8" s="49"/>
      <c r="D8" s="49"/>
      <c r="E8" s="49"/>
      <c r="F8" s="20"/>
      <c r="G8" s="1"/>
    </row>
    <row r="9" spans="1:7" x14ac:dyDescent="0.25">
      <c r="A9" s="1"/>
      <c r="B9" s="86" t="s">
        <v>23</v>
      </c>
      <c r="C9" s="87"/>
      <c r="D9" s="88"/>
      <c r="E9" s="7">
        <v>305750293.39604408</v>
      </c>
      <c r="F9" s="8" t="s">
        <v>3</v>
      </c>
      <c r="G9" s="1"/>
    </row>
    <row r="10" spans="1:7" ht="15" customHeight="1" x14ac:dyDescent="0.25">
      <c r="A10" s="1"/>
      <c r="B10" s="77" t="s">
        <v>45</v>
      </c>
      <c r="C10" s="78"/>
      <c r="D10" s="79"/>
      <c r="E10" s="7">
        <v>2578505.193</v>
      </c>
      <c r="F10" s="8" t="s">
        <v>3</v>
      </c>
      <c r="G10" s="1"/>
    </row>
    <row r="11" spans="1:7" ht="15" customHeight="1" x14ac:dyDescent="0.25">
      <c r="A11" s="1"/>
      <c r="B11" s="77" t="s">
        <v>46</v>
      </c>
      <c r="C11" s="78"/>
      <c r="D11" s="79"/>
      <c r="E11" s="9">
        <v>1906355.35629</v>
      </c>
      <c r="F11" s="8" t="s">
        <v>3</v>
      </c>
      <c r="G11" s="1"/>
    </row>
    <row r="12" spans="1:7" x14ac:dyDescent="0.2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2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162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163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18</v>
      </c>
      <c r="C16" s="78"/>
      <c r="D16" s="79"/>
      <c r="E16" s="9">
        <f>E9*'Fane 12. Nøgletal'!C11+SUM(E10:E15)*'Fane 12. Nøgletal'!C12</f>
        <v>5255531.7112141578</v>
      </c>
      <c r="F16" s="8" t="s">
        <v>3</v>
      </c>
      <c r="G16" s="1"/>
    </row>
    <row r="17" spans="1:7" x14ac:dyDescent="0.25">
      <c r="A17" s="1"/>
      <c r="B17" s="77" t="s">
        <v>9</v>
      </c>
      <c r="C17" s="78"/>
      <c r="D17" s="79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7" t="s">
        <v>27</v>
      </c>
      <c r="C18" s="78"/>
      <c r="D18" s="79"/>
      <c r="E18" s="9">
        <f>-'Fane 4.1. Gen. krav - drift'!G26</f>
        <v>-3889373.109122491</v>
      </c>
      <c r="F18" s="8" t="s">
        <v>3</v>
      </c>
      <c r="G18" s="1"/>
    </row>
    <row r="19" spans="1:7" x14ac:dyDescent="0.25">
      <c r="A19" s="1"/>
      <c r="B19" s="77" t="s">
        <v>28</v>
      </c>
      <c r="C19" s="78"/>
      <c r="D19" s="79"/>
      <c r="E19" s="9">
        <f>-'Fane 4.2. Gen. krav - anlæg'!G26</f>
        <v>-1096496.3066613425</v>
      </c>
      <c r="F19" s="8" t="s">
        <v>3</v>
      </c>
      <c r="G19" s="1"/>
    </row>
    <row r="20" spans="1:7" x14ac:dyDescent="0.25">
      <c r="A20" s="1"/>
      <c r="B20" s="92" t="s">
        <v>20</v>
      </c>
      <c r="C20" s="93"/>
      <c r="D20" s="94"/>
      <c r="E20" s="10">
        <f>SUM(E9:E19)</f>
        <v>310504816.24076438</v>
      </c>
      <c r="F20" s="11" t="s">
        <v>3</v>
      </c>
      <c r="G20" s="1"/>
    </row>
    <row r="21" spans="1:7" x14ac:dyDescent="0.25">
      <c r="A21" s="1"/>
      <c r="B21" s="80" t="s">
        <v>12</v>
      </c>
      <c r="C21" s="81"/>
      <c r="D21" s="81"/>
      <c r="E21" s="49"/>
      <c r="F21" s="20"/>
      <c r="G21" s="1"/>
    </row>
    <row r="22" spans="1:7" x14ac:dyDescent="0.25">
      <c r="A22" s="1"/>
      <c r="B22" s="82" t="s">
        <v>12</v>
      </c>
      <c r="C22" s="83"/>
      <c r="D22" s="84"/>
      <c r="E22" s="10">
        <v>248124469.70975798</v>
      </c>
      <c r="F22" s="11" t="s">
        <v>3</v>
      </c>
      <c r="G22" s="1"/>
    </row>
    <row r="23" spans="1:7" x14ac:dyDescent="0.25">
      <c r="A23" s="1"/>
      <c r="B23" s="48" t="s">
        <v>103</v>
      </c>
      <c r="C23" s="49"/>
      <c r="D23" s="49"/>
      <c r="E23" s="49"/>
      <c r="F23" s="20"/>
      <c r="G23" s="1"/>
    </row>
    <row r="24" spans="1:7" ht="15" customHeight="1" x14ac:dyDescent="0.25">
      <c r="A24" s="1"/>
      <c r="B24" s="98" t="s">
        <v>99</v>
      </c>
      <c r="C24" s="99"/>
      <c r="D24" s="99"/>
      <c r="E24" s="38">
        <v>0</v>
      </c>
      <c r="F24" s="39" t="s">
        <v>3</v>
      </c>
      <c r="G24" s="1"/>
    </row>
    <row r="25" spans="1:7" ht="16.149999999999999" customHeight="1" x14ac:dyDescent="0.25">
      <c r="A25" s="1"/>
      <c r="B25" s="98" t="s">
        <v>100</v>
      </c>
      <c r="C25" s="99"/>
      <c r="D25" s="100"/>
      <c r="E25" s="9">
        <v>0</v>
      </c>
      <c r="F25" s="8" t="s">
        <v>3</v>
      </c>
      <c r="G25" s="1"/>
    </row>
    <row r="26" spans="1:7" x14ac:dyDescent="0.25">
      <c r="A26" s="1"/>
      <c r="B26" s="101" t="s">
        <v>104</v>
      </c>
      <c r="C26" s="102"/>
      <c r="D26" s="102"/>
      <c r="E26" s="10">
        <v>0</v>
      </c>
      <c r="F26" s="10" t="s">
        <v>3</v>
      </c>
      <c r="G26" s="1"/>
    </row>
    <row r="27" spans="1:7" x14ac:dyDescent="0.25">
      <c r="A27" s="1"/>
      <c r="B27" s="48" t="s">
        <v>241</v>
      </c>
      <c r="C27" s="49"/>
      <c r="D27" s="49"/>
      <c r="E27" s="49"/>
      <c r="F27" s="20"/>
      <c r="G27" s="1"/>
    </row>
    <row r="28" spans="1:7" ht="13.15" customHeight="1" x14ac:dyDescent="0.25">
      <c r="A28" s="1"/>
      <c r="B28" s="95" t="s">
        <v>242</v>
      </c>
      <c r="C28" s="96"/>
      <c r="D28" s="96"/>
      <c r="E28" s="10">
        <v>0</v>
      </c>
      <c r="F28" s="10" t="s">
        <v>3</v>
      </c>
      <c r="G28" s="1"/>
    </row>
    <row r="29" spans="1:7" x14ac:dyDescent="0.25">
      <c r="A29" s="1"/>
      <c r="B29" s="48" t="s">
        <v>40</v>
      </c>
      <c r="C29" s="49"/>
      <c r="D29" s="49"/>
      <c r="E29" s="49"/>
      <c r="F29" s="20"/>
      <c r="G29" s="1"/>
    </row>
    <row r="30" spans="1:7" x14ac:dyDescent="0.25">
      <c r="A30" s="1"/>
      <c r="B30" s="101" t="s">
        <v>243</v>
      </c>
      <c r="C30" s="102"/>
      <c r="D30" s="102"/>
      <c r="E30" s="10">
        <v>-21718930.313411169</v>
      </c>
      <c r="F30" s="10" t="s">
        <v>3</v>
      </c>
      <c r="G30" s="1"/>
    </row>
    <row r="31" spans="1:7" x14ac:dyDescent="0.25">
      <c r="A31" s="1"/>
      <c r="B31" s="48" t="s">
        <v>244</v>
      </c>
      <c r="C31" s="49"/>
      <c r="D31" s="49"/>
      <c r="E31" s="49"/>
      <c r="F31" s="20"/>
      <c r="G31" s="1"/>
    </row>
    <row r="32" spans="1:7" ht="14.25" customHeight="1" x14ac:dyDescent="0.25">
      <c r="A32" s="1"/>
      <c r="B32" s="95" t="s">
        <v>245</v>
      </c>
      <c r="C32" s="96"/>
      <c r="D32" s="97"/>
      <c r="E32" s="10">
        <v>904743.411488913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SUM(E20,E22,E26,E28,E30,E32)</f>
        <v>537815099.0486002</v>
      </c>
      <c r="F33" s="13" t="s">
        <v>3</v>
      </c>
      <c r="G33" s="1"/>
    </row>
    <row r="34" spans="1:7" ht="28.15" customHeight="1" x14ac:dyDescent="0.25">
      <c r="A34" s="1"/>
      <c r="B34" s="89" t="s">
        <v>219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DVXu7DfjkhhoI6gHyOqeiTEIqJFJUGhIBB0IjAYbzmSaOLZWTX8y5u1peXua0rbYDS6O4mMr5O9S6H1NDBBsXQ==" saltValue="1nb1zQAqEYqqcLBU2M8qWw==" spinCount="100000" sheet="1" objects="1" scenarios="1"/>
  <mergeCells count="22"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.5703125" style="2" customWidth="1"/>
    <col min="7" max="7" width="11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5" t="s">
        <v>140</v>
      </c>
      <c r="C2" s="85"/>
      <c r="D2" s="85"/>
      <c r="E2" s="85"/>
      <c r="F2" s="85"/>
      <c r="G2" s="85"/>
      <c r="H2" s="85"/>
      <c r="I2" s="1"/>
    </row>
    <row r="3" spans="1:9" ht="15" customHeight="1" x14ac:dyDescent="0.25">
      <c r="A3" s="1"/>
      <c r="B3" s="85"/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03" t="s">
        <v>64</v>
      </c>
      <c r="C5" s="104"/>
      <c r="D5" s="104"/>
      <c r="E5" s="104"/>
      <c r="F5" s="104"/>
      <c r="G5" s="104"/>
      <c r="H5" s="105"/>
      <c r="I5" s="1"/>
    </row>
    <row r="6" spans="1:9" x14ac:dyDescent="0.25">
      <c r="A6" s="1"/>
      <c r="B6" s="106" t="s">
        <v>53</v>
      </c>
      <c r="C6" s="107"/>
      <c r="D6" s="107"/>
      <c r="E6" s="107"/>
      <c r="F6" s="108"/>
      <c r="G6" s="24">
        <v>195034903.28610891</v>
      </c>
      <c r="H6" s="14" t="s">
        <v>3</v>
      </c>
      <c r="I6" s="1"/>
    </row>
    <row r="7" spans="1:9" x14ac:dyDescent="0.25">
      <c r="A7" s="1"/>
      <c r="B7" s="106" t="s">
        <v>54</v>
      </c>
      <c r="C7" s="107"/>
      <c r="D7" s="107"/>
      <c r="E7" s="107"/>
      <c r="F7" s="108"/>
      <c r="G7" s="24">
        <f>G6*'Fane 12. Nøgletal'!C27</f>
        <v>3900698.0657221782</v>
      </c>
      <c r="H7" s="14" t="s">
        <v>3</v>
      </c>
      <c r="I7" s="1"/>
    </row>
    <row r="8" spans="1:9" x14ac:dyDescent="0.25">
      <c r="A8" s="1"/>
      <c r="B8" s="48"/>
      <c r="C8" s="49"/>
      <c r="D8" s="49"/>
      <c r="E8" s="49"/>
      <c r="F8" s="49"/>
      <c r="G8" s="49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3" t="s">
        <v>65</v>
      </c>
      <c r="C10" s="104"/>
      <c r="D10" s="104"/>
      <c r="E10" s="104"/>
      <c r="F10" s="104"/>
      <c r="G10" s="104"/>
      <c r="H10" s="105"/>
      <c r="I10" s="1"/>
    </row>
    <row r="11" spans="1:9" x14ac:dyDescent="0.25">
      <c r="A11" s="1"/>
      <c r="B11" s="106" t="s">
        <v>55</v>
      </c>
      <c r="C11" s="107"/>
      <c r="D11" s="107"/>
      <c r="E11" s="107"/>
      <c r="F11" s="108"/>
      <c r="G11" s="24">
        <f>(G6-G7)*(1+'Fane 12. Nøgletal'!C9)</f>
        <v>193561609.62668565</v>
      </c>
      <c r="H11" s="14" t="s">
        <v>3</v>
      </c>
      <c r="I11" s="1"/>
    </row>
    <row r="12" spans="1:9" x14ac:dyDescent="0.25">
      <c r="A12" s="1"/>
      <c r="B12" s="112" t="s">
        <v>56</v>
      </c>
      <c r="C12" s="113"/>
      <c r="D12" s="113"/>
      <c r="E12" s="113"/>
      <c r="F12" s="114"/>
      <c r="G12" s="24">
        <v>0</v>
      </c>
      <c r="H12" s="14" t="s">
        <v>3</v>
      </c>
      <c r="I12" s="1"/>
    </row>
    <row r="13" spans="1:9" x14ac:dyDescent="0.25">
      <c r="A13" s="1"/>
      <c r="B13" s="106" t="s">
        <v>57</v>
      </c>
      <c r="C13" s="107"/>
      <c r="D13" s="107"/>
      <c r="E13" s="107"/>
      <c r="F13" s="108"/>
      <c r="G13" s="24">
        <f>(G11+G12)*'Fane 12. Nøgletal'!C27</f>
        <v>3871232.1925337128</v>
      </c>
      <c r="H13" s="14" t="s">
        <v>3</v>
      </c>
      <c r="I13" s="1"/>
    </row>
    <row r="14" spans="1:9" x14ac:dyDescent="0.25">
      <c r="A14" s="1"/>
      <c r="B14" s="48"/>
      <c r="C14" s="49"/>
      <c r="D14" s="49"/>
      <c r="E14" s="49"/>
      <c r="F14" s="49"/>
      <c r="G14" s="49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3" t="s">
        <v>66</v>
      </c>
      <c r="C16" s="104"/>
      <c r="D16" s="104"/>
      <c r="E16" s="104"/>
      <c r="F16" s="104"/>
      <c r="G16" s="104"/>
      <c r="H16" s="105"/>
      <c r="I16" s="1"/>
    </row>
    <row r="17" spans="1:9" x14ac:dyDescent="0.25">
      <c r="A17" s="1"/>
      <c r="B17" s="106" t="s">
        <v>58</v>
      </c>
      <c r="C17" s="107"/>
      <c r="D17" s="107"/>
      <c r="E17" s="107"/>
      <c r="F17" s="108"/>
      <c r="G17" s="24">
        <f>(G11+G12-G13)*(1+'Fane 12. Nøgletal'!C11)</f>
        <v>192896144.81278911</v>
      </c>
      <c r="H17" s="14" t="s">
        <v>3</v>
      </c>
      <c r="I17" s="1"/>
    </row>
    <row r="18" spans="1:9" x14ac:dyDescent="0.25">
      <c r="A18" s="1"/>
      <c r="B18" s="106" t="s">
        <v>158</v>
      </c>
      <c r="C18" s="107"/>
      <c r="D18" s="107"/>
      <c r="E18" s="107"/>
      <c r="F18" s="108"/>
      <c r="G18" s="24">
        <v>-394972.07007721695</v>
      </c>
      <c r="H18" s="14" t="s">
        <v>3</v>
      </c>
      <c r="I18" s="1"/>
    </row>
    <row r="19" spans="1:9" x14ac:dyDescent="0.25">
      <c r="A19" s="1"/>
      <c r="B19" s="112" t="s">
        <v>59</v>
      </c>
      <c r="C19" s="113"/>
      <c r="D19" s="113"/>
      <c r="E19" s="113"/>
      <c r="F19" s="114"/>
      <c r="G19" s="24">
        <v>0</v>
      </c>
      <c r="H19" s="14" t="s">
        <v>3</v>
      </c>
      <c r="I19" s="1"/>
    </row>
    <row r="20" spans="1:9" x14ac:dyDescent="0.25">
      <c r="A20" s="1"/>
      <c r="B20" s="106" t="s">
        <v>60</v>
      </c>
      <c r="C20" s="107"/>
      <c r="D20" s="107"/>
      <c r="E20" s="107"/>
      <c r="F20" s="108"/>
      <c r="G20" s="24">
        <f>SUM(G17:G19)*'Fane 12. Nøgletal'!C27</f>
        <v>3850023.4548542383</v>
      </c>
      <c r="H20" s="14" t="s">
        <v>3</v>
      </c>
      <c r="I20" s="1"/>
    </row>
    <row r="21" spans="1:9" x14ac:dyDescent="0.25">
      <c r="A21" s="1"/>
      <c r="B21" s="48"/>
      <c r="C21" s="49"/>
      <c r="D21" s="49"/>
      <c r="E21" s="49"/>
      <c r="F21" s="49"/>
      <c r="G21" s="49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3" t="s">
        <v>67</v>
      </c>
      <c r="C23" s="104"/>
      <c r="D23" s="104"/>
      <c r="E23" s="104"/>
      <c r="F23" s="104"/>
      <c r="G23" s="104"/>
      <c r="H23" s="105"/>
      <c r="I23" s="1"/>
    </row>
    <row r="24" spans="1:9" x14ac:dyDescent="0.25">
      <c r="A24" s="1"/>
      <c r="B24" s="106" t="s">
        <v>61</v>
      </c>
      <c r="C24" s="107"/>
      <c r="D24" s="107"/>
      <c r="E24" s="107"/>
      <c r="F24" s="108"/>
      <c r="G24" s="24">
        <f>(G17+G18+G19-G20)*(1+'Fane 12. Nøgletal'!C11)</f>
        <v>191839353.71082243</v>
      </c>
      <c r="H24" s="14" t="s">
        <v>3</v>
      </c>
      <c r="I24" s="1"/>
    </row>
    <row r="25" spans="1:9" x14ac:dyDescent="0.25">
      <c r="A25" s="1"/>
      <c r="B25" s="112" t="s">
        <v>62</v>
      </c>
      <c r="C25" s="113"/>
      <c r="D25" s="113"/>
      <c r="E25" s="113"/>
      <c r="F25" s="114"/>
      <c r="G25" s="24">
        <v>2629301.7453021002</v>
      </c>
      <c r="H25" s="14" t="s">
        <v>3</v>
      </c>
      <c r="I25" s="1"/>
    </row>
    <row r="26" spans="1:9" x14ac:dyDescent="0.25">
      <c r="A26" s="1"/>
      <c r="B26" s="106" t="s">
        <v>63</v>
      </c>
      <c r="C26" s="107"/>
      <c r="D26" s="107"/>
      <c r="E26" s="107"/>
      <c r="F26" s="108"/>
      <c r="G26" s="24">
        <f>(G24+G25)*'Fane 12. Nøgletal'!C27</f>
        <v>3889373.109122491</v>
      </c>
      <c r="H26" s="14" t="s">
        <v>3</v>
      </c>
      <c r="I26" s="1"/>
    </row>
    <row r="27" spans="1:9" x14ac:dyDescent="0.25">
      <c r="A27" s="1"/>
      <c r="B27" s="48"/>
      <c r="C27" s="49"/>
      <c r="D27" s="49"/>
      <c r="E27" s="49"/>
      <c r="F27" s="49"/>
      <c r="G27" s="49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3" t="s">
        <v>70</v>
      </c>
      <c r="C29" s="104"/>
      <c r="D29" s="104"/>
      <c r="E29" s="104"/>
      <c r="F29" s="104"/>
      <c r="G29" s="104"/>
      <c r="H29" s="105"/>
      <c r="I29" s="1"/>
    </row>
    <row r="30" spans="1:9" x14ac:dyDescent="0.25">
      <c r="A30" s="1"/>
      <c r="B30" s="106" t="s">
        <v>71</v>
      </c>
      <c r="C30" s="107"/>
      <c r="D30" s="107"/>
      <c r="E30" s="107"/>
      <c r="F30" s="108"/>
      <c r="G30" s="24">
        <f>G24*(1-'Fane 12. Nøgletal'!C27)*(1+'Fane 12. Nøgletal'!C11)+G25*(1-'Fane 12. Nøgletal'!C27)*(1+'Fane 12. Nøgletal'!C12)</f>
        <v>193807287.02265546</v>
      </c>
      <c r="H30" s="14" t="s">
        <v>3</v>
      </c>
      <c r="I30" s="1"/>
    </row>
    <row r="31" spans="1:9" x14ac:dyDescent="0.25">
      <c r="A31" s="1"/>
      <c r="B31" s="109" t="s">
        <v>154</v>
      </c>
      <c r="C31" s="110"/>
      <c r="D31" s="110"/>
      <c r="E31" s="110"/>
      <c r="F31" s="111"/>
      <c r="G31" s="24">
        <f>G25*(1-'Fane 12. Nøgletal'!C27)*(1+'Fane 12. Nøgletal'!C12)</f>
        <v>2627477.0098908604</v>
      </c>
      <c r="H31" s="14" t="s">
        <v>3</v>
      </c>
      <c r="I31" s="1"/>
    </row>
    <row r="32" spans="1:9" x14ac:dyDescent="0.25">
      <c r="A32" s="1"/>
      <c r="B32" s="106" t="s">
        <v>199</v>
      </c>
      <c r="C32" s="107"/>
      <c r="D32" s="107"/>
      <c r="E32" s="107"/>
      <c r="F32" s="108"/>
      <c r="G32" s="24">
        <f>SUM('Fane 2.1. Økonomisk ramme 2021'!C12,'Fane 2.1. Økonomisk ramme 2021'!C14,'Fane 2.1. Økonomisk ramme 2021'!C16)*(1+'Fane 12. Nøgletal'!C13)</f>
        <v>12644093.499435719</v>
      </c>
      <c r="H32" s="14" t="s">
        <v>3</v>
      </c>
      <c r="I32" s="1"/>
    </row>
    <row r="33" spans="1:9" x14ac:dyDescent="0.25">
      <c r="A33" s="1"/>
      <c r="B33" s="106" t="s">
        <v>72</v>
      </c>
      <c r="C33" s="107"/>
      <c r="D33" s="107"/>
      <c r="E33" s="107"/>
      <c r="F33" s="108"/>
      <c r="G33" s="24">
        <f>(G30+G32)*'Fane 12. Nøgletal'!C27</f>
        <v>4129027.6104418235</v>
      </c>
      <c r="H33" s="14" t="s">
        <v>3</v>
      </c>
      <c r="I33" s="1"/>
    </row>
    <row r="34" spans="1:9" x14ac:dyDescent="0.25">
      <c r="A34" s="1"/>
      <c r="B34" s="48"/>
      <c r="C34" s="49"/>
      <c r="D34" s="49"/>
      <c r="E34" s="49"/>
      <c r="F34" s="49"/>
      <c r="G34" s="49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3" t="s">
        <v>139</v>
      </c>
      <c r="C36" s="104"/>
      <c r="D36" s="104"/>
      <c r="E36" s="104"/>
      <c r="F36" s="104"/>
      <c r="G36" s="104"/>
      <c r="H36" s="105"/>
      <c r="I36" s="1"/>
    </row>
    <row r="37" spans="1:9" x14ac:dyDescent="0.25">
      <c r="A37" s="1"/>
      <c r="B37" s="106" t="s">
        <v>94</v>
      </c>
      <c r="C37" s="107"/>
      <c r="D37" s="107"/>
      <c r="E37" s="107"/>
      <c r="F37" s="108"/>
      <c r="G37" s="24">
        <f>(G30-G31)*(1-'Fane 12. Nøgletal'!C27)*(1+'Fane 12. Nøgletal'!C11)+G31*(1-'Fane 12. Nøgletal'!C27)*(1+'Fane 12. Nøgletal'!C12)+G32*(1-'Fane 12. Nøgletal'!C27)*(1+'Fane 12. Nøgletal'!C13)</f>
        <v>205690571.77811295</v>
      </c>
      <c r="H37" s="14" t="s">
        <v>3</v>
      </c>
      <c r="I37" s="1"/>
    </row>
    <row r="38" spans="1:9" x14ac:dyDescent="0.25">
      <c r="A38" s="1"/>
      <c r="B38" s="109" t="s">
        <v>154</v>
      </c>
      <c r="C38" s="110"/>
      <c r="D38" s="110"/>
      <c r="E38" s="110"/>
      <c r="F38" s="111"/>
      <c r="G38" s="24">
        <f>G31*(1-'Fane 12. Nøgletal'!C27)*(1+'Fane 12. Nøgletal'!C12)</f>
        <v>2625653.5408459962</v>
      </c>
      <c r="H38" s="14" t="s">
        <v>3</v>
      </c>
      <c r="I38" s="1"/>
    </row>
    <row r="39" spans="1:9" x14ac:dyDescent="0.25">
      <c r="A39" s="1"/>
      <c r="B39" s="109" t="s">
        <v>205</v>
      </c>
      <c r="C39" s="107"/>
      <c r="D39" s="107"/>
      <c r="E39" s="107"/>
      <c r="F39" s="108"/>
      <c r="G39" s="24">
        <f>G32*(1-'Fane 12. Nøgletal'!C27)*(1+'Fane 12. Nøgletal'!C13)</f>
        <v>12542384.411326258</v>
      </c>
      <c r="H39" s="14" t="s">
        <v>3</v>
      </c>
      <c r="I39" s="1"/>
    </row>
    <row r="40" spans="1:9" x14ac:dyDescent="0.25">
      <c r="A40" s="1"/>
      <c r="B40" s="106" t="s">
        <v>106</v>
      </c>
      <c r="C40" s="107"/>
      <c r="D40" s="107"/>
      <c r="E40" s="107"/>
      <c r="F40" s="108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6" t="s">
        <v>155</v>
      </c>
      <c r="C41" s="107"/>
      <c r="D41" s="107"/>
      <c r="E41" s="107"/>
      <c r="F41" s="108"/>
      <c r="G41" s="24">
        <f>(G37+G40)*'Fane 12. Nøgletal'!C27</f>
        <v>4113811.4355622591</v>
      </c>
      <c r="H41" s="14" t="s">
        <v>3</v>
      </c>
      <c r="I41" s="1"/>
    </row>
    <row r="42" spans="1:9" x14ac:dyDescent="0.25">
      <c r="A42" s="1"/>
      <c r="B42" s="48"/>
      <c r="C42" s="49"/>
      <c r="D42" s="49"/>
      <c r="E42" s="49"/>
      <c r="F42" s="49"/>
      <c r="G42" s="49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3" t="s">
        <v>95</v>
      </c>
      <c r="C44" s="104"/>
      <c r="D44" s="104"/>
      <c r="E44" s="104"/>
      <c r="F44" s="104"/>
      <c r="G44" s="104"/>
      <c r="H44" s="105"/>
      <c r="I44" s="1"/>
    </row>
    <row r="45" spans="1:9" x14ac:dyDescent="0.25">
      <c r="A45" s="1"/>
      <c r="B45" s="106" t="s">
        <v>93</v>
      </c>
      <c r="C45" s="107"/>
      <c r="D45" s="107"/>
      <c r="E45" s="107"/>
      <c r="F45" s="108"/>
      <c r="G45" s="24">
        <f>(G37+G40-G41)*(1+'Fane 12. Nøgletal'!C13)</f>
        <v>204035996.81872982</v>
      </c>
      <c r="H45" s="14" t="s">
        <v>3</v>
      </c>
      <c r="I45" s="1"/>
    </row>
    <row r="46" spans="1:9" x14ac:dyDescent="0.25">
      <c r="A46" s="1"/>
      <c r="B46" s="106" t="s">
        <v>107</v>
      </c>
      <c r="C46" s="107"/>
      <c r="D46" s="107"/>
      <c r="E46" s="107"/>
      <c r="F46" s="108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6" t="s">
        <v>73</v>
      </c>
      <c r="C47" s="107"/>
      <c r="D47" s="107"/>
      <c r="E47" s="107"/>
      <c r="F47" s="108"/>
      <c r="G47" s="24">
        <f>(G45+G46)*'Fane 12. Nøgletal'!C27</f>
        <v>4080719.9363745963</v>
      </c>
      <c r="H47" s="14" t="s">
        <v>3</v>
      </c>
      <c r="I47" s="1"/>
    </row>
    <row r="48" spans="1:9" x14ac:dyDescent="0.25">
      <c r="A48" s="1"/>
      <c r="B48" s="48"/>
      <c r="C48" s="49"/>
      <c r="D48" s="49"/>
      <c r="E48" s="49"/>
      <c r="F48" s="49"/>
      <c r="G48" s="49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3" t="s">
        <v>200</v>
      </c>
      <c r="C52" s="104"/>
      <c r="D52" s="104"/>
      <c r="E52" s="104"/>
      <c r="F52" s="104"/>
      <c r="G52" s="104"/>
      <c r="H52" s="105"/>
      <c r="I52" s="1"/>
    </row>
    <row r="53" spans="1:9" x14ac:dyDescent="0.25">
      <c r="A53" s="1"/>
      <c r="B53" s="106" t="s">
        <v>201</v>
      </c>
      <c r="C53" s="107"/>
      <c r="D53" s="107"/>
      <c r="E53" s="107"/>
      <c r="F53" s="108"/>
      <c r="G53" s="24">
        <f>(G45+G46-G47)*(1+'Fane 12. Nøgletal'!C13)</f>
        <v>202394731.26031995</v>
      </c>
      <c r="H53" s="14" t="s">
        <v>3</v>
      </c>
      <c r="I53" s="1"/>
    </row>
    <row r="54" spans="1:9" x14ac:dyDescent="0.25">
      <c r="A54" s="1"/>
      <c r="B54" s="106" t="s">
        <v>202</v>
      </c>
      <c r="C54" s="107"/>
      <c r="D54" s="107"/>
      <c r="E54" s="107"/>
      <c r="F54" s="108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6" t="s">
        <v>203</v>
      </c>
      <c r="C55" s="107"/>
      <c r="D55" s="107"/>
      <c r="E55" s="107"/>
      <c r="F55" s="108"/>
      <c r="G55" s="24">
        <f>(G53+G54)*'Fane 12. Nøgletal'!C27</f>
        <v>4047894.6252063992</v>
      </c>
      <c r="H55" s="14" t="s">
        <v>3</v>
      </c>
      <c r="I55" s="1"/>
    </row>
    <row r="56" spans="1:9" x14ac:dyDescent="0.25">
      <c r="A56" s="1"/>
      <c r="B56" s="48"/>
      <c r="C56" s="49"/>
      <c r="D56" s="49"/>
      <c r="E56" s="49"/>
      <c r="F56" s="49"/>
      <c r="G56" s="49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LCvTqAp6J14XkaBhSu+6k1Cs0wjCp/B7u7HSWtn5wggoa6LMX32no8O2zRiuuPuPtFwVSSFNwbyERDvkaivPqg==" saltValue="YqUSQaPR3RfHvCfDghHpAQ==" spinCount="100000" sheet="1" objects="1" scenarios="1"/>
  <mergeCells count="36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.140625" style="2" customWidth="1"/>
    <col min="7" max="7" width="11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85" t="s">
        <v>141</v>
      </c>
      <c r="C2" s="85"/>
      <c r="D2" s="85"/>
      <c r="E2" s="85"/>
      <c r="F2" s="85"/>
      <c r="G2" s="85"/>
      <c r="H2" s="85"/>
      <c r="I2" s="1"/>
    </row>
    <row r="3" spans="1:9" ht="18" customHeight="1" x14ac:dyDescent="0.25">
      <c r="A3" s="1"/>
      <c r="B3" s="85"/>
      <c r="C3" s="85"/>
      <c r="D3" s="85"/>
      <c r="E3" s="85"/>
      <c r="F3" s="85"/>
      <c r="G3" s="85"/>
      <c r="H3" s="85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103" t="s">
        <v>68</v>
      </c>
      <c r="C5" s="104"/>
      <c r="D5" s="104"/>
      <c r="E5" s="104"/>
      <c r="F5" s="104"/>
      <c r="G5" s="104"/>
      <c r="H5" s="105"/>
      <c r="I5" s="1"/>
    </row>
    <row r="6" spans="1:9" x14ac:dyDescent="0.25">
      <c r="A6" s="1"/>
      <c r="B6" s="106" t="s">
        <v>74</v>
      </c>
      <c r="C6" s="107"/>
      <c r="D6" s="107"/>
      <c r="E6" s="107"/>
      <c r="F6" s="108"/>
      <c r="G6" s="24">
        <v>115134297.26136479</v>
      </c>
      <c r="H6" s="14" t="s">
        <v>3</v>
      </c>
      <c r="I6" s="1"/>
    </row>
    <row r="7" spans="1:9" x14ac:dyDescent="0.25">
      <c r="A7" s="1"/>
      <c r="B7" s="106" t="s">
        <v>69</v>
      </c>
      <c r="C7" s="107"/>
      <c r="D7" s="107"/>
      <c r="E7" s="107"/>
      <c r="F7" s="108"/>
      <c r="G7" s="24">
        <f>G6*'Fane 12. Nøgletal'!C18</f>
        <v>1047722.1050784197</v>
      </c>
      <c r="H7" s="14" t="s">
        <v>3</v>
      </c>
      <c r="I7" s="1"/>
    </row>
    <row r="8" spans="1:9" x14ac:dyDescent="0.25">
      <c r="A8" s="1"/>
      <c r="B8" s="48"/>
      <c r="C8" s="49"/>
      <c r="D8" s="49"/>
      <c r="E8" s="49"/>
      <c r="F8" s="49"/>
      <c r="G8" s="49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3" t="s">
        <v>75</v>
      </c>
      <c r="C10" s="104"/>
      <c r="D10" s="104"/>
      <c r="E10" s="104"/>
      <c r="F10" s="104"/>
      <c r="G10" s="104"/>
      <c r="H10" s="105"/>
      <c r="I10" s="1"/>
    </row>
    <row r="11" spans="1:9" x14ac:dyDescent="0.25">
      <c r="A11" s="1"/>
      <c r="B11" s="106" t="s">
        <v>76</v>
      </c>
      <c r="C11" s="107"/>
      <c r="D11" s="107"/>
      <c r="E11" s="107"/>
      <c r="F11" s="108"/>
      <c r="G11" s="24">
        <f>(G6-G7)*(1+'Fane 12. Nøgletal'!C9)</f>
        <v>115535474.66077121</v>
      </c>
      <c r="H11" s="14" t="s">
        <v>3</v>
      </c>
      <c r="I11" s="1"/>
    </row>
    <row r="12" spans="1:9" x14ac:dyDescent="0.25">
      <c r="A12" s="1"/>
      <c r="B12" s="112" t="s">
        <v>77</v>
      </c>
      <c r="C12" s="113"/>
      <c r="D12" s="113"/>
      <c r="E12" s="113"/>
      <c r="F12" s="114"/>
      <c r="G12" s="24">
        <v>0</v>
      </c>
      <c r="H12" s="14" t="s">
        <v>3</v>
      </c>
      <c r="I12" s="1"/>
    </row>
    <row r="13" spans="1:9" x14ac:dyDescent="0.25">
      <c r="A13" s="1"/>
      <c r="B13" s="106" t="s">
        <v>78</v>
      </c>
      <c r="C13" s="107"/>
      <c r="D13" s="107"/>
      <c r="E13" s="107"/>
      <c r="F13" s="108"/>
      <c r="G13" s="24">
        <f>G11*'Fane 12. Nøgletal'!C18+G12*'Fane 12. Nøgletal'!C19</f>
        <v>1051372.8194130179</v>
      </c>
      <c r="H13" s="14" t="s">
        <v>3</v>
      </c>
      <c r="I13" s="1"/>
    </row>
    <row r="14" spans="1:9" x14ac:dyDescent="0.25">
      <c r="A14" s="1"/>
      <c r="B14" s="48"/>
      <c r="C14" s="49"/>
      <c r="D14" s="49"/>
      <c r="E14" s="49"/>
      <c r="F14" s="49"/>
      <c r="G14" s="49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3" t="s">
        <v>79</v>
      </c>
      <c r="C16" s="104"/>
      <c r="D16" s="104"/>
      <c r="E16" s="104"/>
      <c r="F16" s="104"/>
      <c r="G16" s="104"/>
      <c r="H16" s="105"/>
      <c r="I16" s="1"/>
    </row>
    <row r="17" spans="1:9" x14ac:dyDescent="0.25">
      <c r="A17" s="1"/>
      <c r="B17" s="106" t="s">
        <v>80</v>
      </c>
      <c r="C17" s="107"/>
      <c r="D17" s="107"/>
      <c r="E17" s="107"/>
      <c r="F17" s="108"/>
      <c r="G17" s="24">
        <f>(G11+G12-G13)*(1+'Fane 12. Nøgletal'!C11)</f>
        <v>116418883.16247714</v>
      </c>
      <c r="H17" s="14" t="s">
        <v>3</v>
      </c>
      <c r="I17" s="1"/>
    </row>
    <row r="18" spans="1:9" x14ac:dyDescent="0.25">
      <c r="A18" s="1"/>
      <c r="B18" s="106" t="s">
        <v>159</v>
      </c>
      <c r="C18" s="107"/>
      <c r="D18" s="107"/>
      <c r="E18" s="107"/>
      <c r="F18" s="108"/>
      <c r="G18" s="24">
        <v>-1909238.9844120771</v>
      </c>
      <c r="H18" s="14" t="s">
        <v>3</v>
      </c>
      <c r="I18" s="1"/>
    </row>
    <row r="19" spans="1:9" x14ac:dyDescent="0.25">
      <c r="A19" s="1"/>
      <c r="B19" s="112" t="s">
        <v>81</v>
      </c>
      <c r="C19" s="113"/>
      <c r="D19" s="113"/>
      <c r="E19" s="113"/>
      <c r="F19" s="114"/>
      <c r="G19" s="24">
        <v>4222627.577384009</v>
      </c>
      <c r="H19" s="14" t="s">
        <v>3</v>
      </c>
      <c r="I19" s="1"/>
    </row>
    <row r="20" spans="1:9" x14ac:dyDescent="0.25">
      <c r="A20" s="1"/>
      <c r="B20" s="106" t="s">
        <v>82</v>
      </c>
      <c r="C20" s="107"/>
      <c r="D20" s="107"/>
      <c r="E20" s="107"/>
      <c r="F20" s="108"/>
      <c r="G20" s="24">
        <f>SUM(G17:G19)*'Fane 12. Nøgletal'!C20</f>
        <v>1032970.7642724068</v>
      </c>
      <c r="H20" s="14" t="s">
        <v>3</v>
      </c>
      <c r="I20" s="1"/>
    </row>
    <row r="21" spans="1:9" x14ac:dyDescent="0.25">
      <c r="A21" s="1"/>
      <c r="B21" s="48"/>
      <c r="C21" s="49"/>
      <c r="D21" s="49"/>
      <c r="E21" s="49"/>
      <c r="F21" s="49"/>
      <c r="G21" s="49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3" t="s">
        <v>83</v>
      </c>
      <c r="C23" s="104"/>
      <c r="D23" s="104"/>
      <c r="E23" s="104"/>
      <c r="F23" s="104"/>
      <c r="G23" s="104"/>
      <c r="H23" s="105"/>
      <c r="I23" s="1"/>
    </row>
    <row r="24" spans="1:9" x14ac:dyDescent="0.25">
      <c r="A24" s="1"/>
      <c r="B24" s="106" t="s">
        <v>84</v>
      </c>
      <c r="C24" s="107"/>
      <c r="D24" s="107"/>
      <c r="E24" s="107"/>
      <c r="F24" s="108"/>
      <c r="G24" s="24">
        <f>(G17+G18+G19-G20)*(1+'Fane 12. Nøgletal'!C11)</f>
        <v>119688419.17792754</v>
      </c>
      <c r="H24" s="14" t="s">
        <v>3</v>
      </c>
      <c r="I24" s="1"/>
    </row>
    <row r="25" spans="1:9" x14ac:dyDescent="0.25">
      <c r="A25" s="1"/>
      <c r="B25" s="112" t="s">
        <v>85</v>
      </c>
      <c r="C25" s="113"/>
      <c r="D25" s="113"/>
      <c r="E25" s="113"/>
      <c r="F25" s="114"/>
      <c r="G25" s="24">
        <v>1943910.5568089131</v>
      </c>
      <c r="H25" s="14" t="s">
        <v>3</v>
      </c>
      <c r="I25" s="1"/>
    </row>
    <row r="26" spans="1:9" x14ac:dyDescent="0.25">
      <c r="A26" s="1"/>
      <c r="B26" s="106" t="s">
        <v>86</v>
      </c>
      <c r="C26" s="107"/>
      <c r="D26" s="107"/>
      <c r="E26" s="107"/>
      <c r="F26" s="108"/>
      <c r="G26" s="24">
        <f>G24*'Fane 12. Nøgletal'!C20+G25*'Fane 12. Nøgletal'!C21</f>
        <v>1096496.3066613425</v>
      </c>
      <c r="H26" s="14" t="s">
        <v>3</v>
      </c>
      <c r="I26" s="1"/>
    </row>
    <row r="27" spans="1:9" x14ac:dyDescent="0.25">
      <c r="A27" s="1"/>
      <c r="B27" s="48"/>
      <c r="C27" s="49"/>
      <c r="D27" s="49"/>
      <c r="E27" s="49"/>
      <c r="F27" s="49"/>
      <c r="G27" s="49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3" t="s">
        <v>87</v>
      </c>
      <c r="C29" s="104"/>
      <c r="D29" s="104"/>
      <c r="E29" s="104"/>
      <c r="F29" s="104"/>
      <c r="G29" s="104"/>
      <c r="H29" s="105"/>
      <c r="I29" s="1"/>
    </row>
    <row r="30" spans="1:9" x14ac:dyDescent="0.25">
      <c r="A30" s="1"/>
      <c r="B30" s="106" t="s">
        <v>88</v>
      </c>
      <c r="C30" s="107"/>
      <c r="D30" s="107"/>
      <c r="E30" s="107"/>
      <c r="F30" s="108"/>
      <c r="G30" s="24">
        <f>G24*(1-'Fane 12. Nøgletal'!C20)*(1+'Fane 12. Nøgletal'!C11)+G25*(1-'Fane 12. Nøgletal'!C21)*(1+'Fane 12. Nøgletal'!C12)</f>
        <v>122578177.38280115</v>
      </c>
      <c r="H30" s="14" t="s">
        <v>3</v>
      </c>
      <c r="I30" s="1"/>
    </row>
    <row r="31" spans="1:9" x14ac:dyDescent="0.25">
      <c r="A31" s="1"/>
      <c r="B31" s="109" t="s">
        <v>156</v>
      </c>
      <c r="C31" s="110"/>
      <c r="D31" s="110"/>
      <c r="E31" s="110"/>
      <c r="F31" s="111"/>
      <c r="G31" s="24">
        <f>G25*(1-'Fane 12. Nøgletal'!C21)*(1+'Fane 12. Nøgletal'!C12)</f>
        <v>1925910.9558863523</v>
      </c>
      <c r="H31" s="14" t="s">
        <v>3</v>
      </c>
      <c r="I31" s="1"/>
    </row>
    <row r="32" spans="1:9" x14ac:dyDescent="0.25">
      <c r="A32" s="1"/>
      <c r="B32" s="106" t="s">
        <v>204</v>
      </c>
      <c r="C32" s="107"/>
      <c r="D32" s="107"/>
      <c r="E32" s="107"/>
      <c r="F32" s="108"/>
      <c r="G32" s="24">
        <f>SUM('Fane 2.1. Økonomisk ramme 2021'!C13,'Fane 2.1. Økonomisk ramme 2021'!C15,'Fane 2.1. Økonomisk ramme 2021'!C17)*(1+'Fane 12. Nøgletal'!C13)</f>
        <v>1106241.8564867042</v>
      </c>
      <c r="H32" s="14" t="s">
        <v>3</v>
      </c>
      <c r="I32" s="1"/>
    </row>
    <row r="33" spans="1:9" x14ac:dyDescent="0.25">
      <c r="A33" s="1"/>
      <c r="B33" s="106" t="s">
        <v>89</v>
      </c>
      <c r="C33" s="107"/>
      <c r="D33" s="107"/>
      <c r="E33" s="107"/>
      <c r="F33" s="108"/>
      <c r="G33" s="24">
        <f>(G30-G31)*'Fane 12. Nøgletal'!C20+G31*'Fane 12. Nøgletal'!C21+G32*'Fane 12. Nøgletal'!C22</f>
        <v>1134792.2401147154</v>
      </c>
      <c r="H33" s="14" t="s">
        <v>3</v>
      </c>
      <c r="I33" s="1"/>
    </row>
    <row r="34" spans="1:9" x14ac:dyDescent="0.25">
      <c r="A34" s="1"/>
      <c r="B34" s="48"/>
      <c r="C34" s="49"/>
      <c r="D34" s="49"/>
      <c r="E34" s="49"/>
      <c r="F34" s="49"/>
      <c r="G34" s="49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3" t="s">
        <v>138</v>
      </c>
      <c r="C36" s="104"/>
      <c r="D36" s="104"/>
      <c r="E36" s="104"/>
      <c r="F36" s="104"/>
      <c r="G36" s="104"/>
      <c r="H36" s="105"/>
      <c r="I36" s="1"/>
    </row>
    <row r="37" spans="1:9" x14ac:dyDescent="0.25">
      <c r="A37" s="1"/>
      <c r="B37" s="106" t="s">
        <v>92</v>
      </c>
      <c r="C37" s="107"/>
      <c r="D37" s="107"/>
      <c r="E37" s="107"/>
      <c r="F37" s="108"/>
      <c r="G37" s="24">
        <f>(G30-G31)*(1-'Fane 12. Nøgletal'!C20)*(1+'Fane 12. Nøgletal'!C11)+G31*(1-'Fane 12. Nøgletal'!C21)*(1+'Fane 12. Nøgletal'!C12)+G32*(1-'Fane 12. Nøgletal'!C22)*(1+'Fane 12. Nøgletal'!C13)</f>
        <v>124620898.74273087</v>
      </c>
      <c r="H37" s="14" t="s">
        <v>3</v>
      </c>
      <c r="I37" s="1"/>
    </row>
    <row r="38" spans="1:9" x14ac:dyDescent="0.25">
      <c r="A38" s="1"/>
      <c r="B38" s="109" t="s">
        <v>156</v>
      </c>
      <c r="C38" s="110"/>
      <c r="D38" s="110"/>
      <c r="E38" s="110"/>
      <c r="F38" s="111"/>
      <c r="G38" s="24">
        <f>G31*(1-'Fane 12. Nøgletal'!C21)*(1+'Fane 12. Nøgletal'!C12)</f>
        <v>1908078.0219085419</v>
      </c>
      <c r="H38" s="14" t="s">
        <v>3</v>
      </c>
      <c r="I38" s="1"/>
    </row>
    <row r="39" spans="1:9" x14ac:dyDescent="0.25">
      <c r="A39" s="1"/>
      <c r="B39" s="109" t="s">
        <v>206</v>
      </c>
      <c r="C39" s="110"/>
      <c r="D39" s="110"/>
      <c r="E39" s="110"/>
      <c r="F39" s="111"/>
      <c r="G39" s="24">
        <f>G32*(1-'Fane 12. Nøgletal'!C22)*(1+'Fane 12. Nøgletal'!C13)</f>
        <v>1088945.2119396063</v>
      </c>
      <c r="H39" s="14" t="s">
        <v>3</v>
      </c>
      <c r="I39" s="1"/>
    </row>
    <row r="40" spans="1:9" x14ac:dyDescent="0.25">
      <c r="A40" s="1"/>
      <c r="B40" s="106" t="s">
        <v>111</v>
      </c>
      <c r="C40" s="107"/>
      <c r="D40" s="107"/>
      <c r="E40" s="107"/>
      <c r="F40" s="108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6" t="s">
        <v>216</v>
      </c>
      <c r="C41" s="107"/>
      <c r="D41" s="107"/>
      <c r="E41" s="107"/>
      <c r="F41" s="108"/>
      <c r="G41" s="24">
        <f>(G37-SUM(G38:G39))*'Fane 12. Nøgletal'!C20+G38*'Fane 12. Nøgletal'!C21+(G39+G40)*'Fane 12. Nøgletal'!C22</f>
        <v>1142263.1260778212</v>
      </c>
      <c r="H41" s="14" t="s">
        <v>3</v>
      </c>
      <c r="I41" s="1"/>
    </row>
    <row r="42" spans="1:9" x14ac:dyDescent="0.25">
      <c r="A42" s="1"/>
      <c r="B42" s="48"/>
      <c r="C42" s="49"/>
      <c r="D42" s="49"/>
      <c r="E42" s="49"/>
      <c r="F42" s="49"/>
      <c r="G42" s="49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3" t="s">
        <v>96</v>
      </c>
      <c r="C44" s="104"/>
      <c r="D44" s="104"/>
      <c r="E44" s="104"/>
      <c r="F44" s="104"/>
      <c r="G44" s="104"/>
      <c r="H44" s="105"/>
      <c r="I44" s="1"/>
    </row>
    <row r="45" spans="1:9" x14ac:dyDescent="0.25">
      <c r="A45" s="1"/>
      <c r="B45" s="106" t="s">
        <v>91</v>
      </c>
      <c r="C45" s="107"/>
      <c r="D45" s="107"/>
      <c r="E45" s="107"/>
      <c r="F45" s="108"/>
      <c r="G45" s="24">
        <f>(G37+G40-G41)*(1+'Fane 12. Nøgletal'!C13)</f>
        <v>124985074.97117622</v>
      </c>
      <c r="H45" s="14" t="s">
        <v>3</v>
      </c>
      <c r="I45" s="1"/>
    </row>
    <row r="46" spans="1:9" x14ac:dyDescent="0.25">
      <c r="A46" s="1"/>
      <c r="B46" s="106" t="s">
        <v>112</v>
      </c>
      <c r="C46" s="107"/>
      <c r="D46" s="107"/>
      <c r="E46" s="107"/>
      <c r="F46" s="108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6" t="s">
        <v>90</v>
      </c>
      <c r="C47" s="107"/>
      <c r="D47" s="107"/>
      <c r="E47" s="107"/>
      <c r="F47" s="108"/>
      <c r="G47" s="24">
        <f>(G45+G46)*'Fane 12. Nøgletal'!C22</f>
        <v>3437089.5617073462</v>
      </c>
      <c r="H47" s="14" t="s">
        <v>3</v>
      </c>
      <c r="I47" s="1"/>
    </row>
    <row r="48" spans="1:9" x14ac:dyDescent="0.25">
      <c r="A48" s="1"/>
      <c r="B48" s="48"/>
      <c r="C48" s="49"/>
      <c r="D48" s="49"/>
      <c r="E48" s="49"/>
      <c r="F48" s="49"/>
      <c r="G48" s="49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3" t="s">
        <v>207</v>
      </c>
      <c r="C51" s="104"/>
      <c r="D51" s="104"/>
      <c r="E51" s="104"/>
      <c r="F51" s="104"/>
      <c r="G51" s="104"/>
      <c r="H51" s="105"/>
      <c r="I51" s="1"/>
    </row>
    <row r="52" spans="1:9" x14ac:dyDescent="0.25">
      <c r="A52" s="1"/>
      <c r="B52" s="106" t="s">
        <v>208</v>
      </c>
      <c r="C52" s="107"/>
      <c r="D52" s="107"/>
      <c r="E52" s="107"/>
      <c r="F52" s="108"/>
      <c r="G52" s="24">
        <f>(G45+G46-G47)*(1+'Fane 12. Nøgletal'!C13)</f>
        <v>123030870.83146439</v>
      </c>
      <c r="H52" s="14" t="s">
        <v>3</v>
      </c>
      <c r="I52" s="1"/>
    </row>
    <row r="53" spans="1:9" x14ac:dyDescent="0.25">
      <c r="A53" s="1"/>
      <c r="B53" s="106" t="s">
        <v>209</v>
      </c>
      <c r="C53" s="107"/>
      <c r="D53" s="107"/>
      <c r="E53" s="107"/>
      <c r="F53" s="108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6" t="s">
        <v>210</v>
      </c>
      <c r="C54" s="107"/>
      <c r="D54" s="107"/>
      <c r="E54" s="107"/>
      <c r="F54" s="108"/>
      <c r="G54" s="24">
        <f>(G52+G53)*'Fane 12. Nøgletal'!C22</f>
        <v>3383348.947865271</v>
      </c>
      <c r="H54" s="14" t="s">
        <v>3</v>
      </c>
      <c r="I54" s="1"/>
    </row>
    <row r="55" spans="1:9" x14ac:dyDescent="0.25">
      <c r="A55" s="1"/>
      <c r="B55" s="48"/>
      <c r="C55" s="49"/>
      <c r="D55" s="49"/>
      <c r="E55" s="49"/>
      <c r="F55" s="49"/>
      <c r="G55" s="49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mkfngI2oLUnpADSDc7KFXmS0AJnV6gqjEeNQ9wjHZUmSXx1GWRhwTB7JiBxjvoYbo0TK5bEhaK5sgjSprBR7Q==" saltValue="RwZIYRjNeF37gBMMeZsLPA==" spinCount="100000" sheet="1" objects="1" scenarios="1"/>
  <mergeCells count="36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105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9</v>
      </c>
      <c r="C8" s="104"/>
      <c r="D8" s="104"/>
      <c r="E8" s="104"/>
      <c r="F8" s="104"/>
      <c r="G8" s="104"/>
      <c r="H8" s="105"/>
      <c r="I8" s="1"/>
    </row>
    <row r="9" spans="1:9" x14ac:dyDescent="0.25">
      <c r="A9" s="1"/>
      <c r="B9" s="106" t="s">
        <v>127</v>
      </c>
      <c r="C9" s="107"/>
      <c r="D9" s="107"/>
      <c r="E9" s="107"/>
      <c r="F9" s="108"/>
      <c r="G9" s="23">
        <v>0</v>
      </c>
      <c r="H9" s="14"/>
      <c r="I9" s="1"/>
    </row>
    <row r="10" spans="1:9" x14ac:dyDescent="0.25">
      <c r="A10" s="1"/>
      <c r="B10" s="106" t="s">
        <v>137</v>
      </c>
      <c r="C10" s="107"/>
      <c r="D10" s="107"/>
      <c r="E10" s="107"/>
      <c r="F10" s="108"/>
      <c r="G10" s="23">
        <v>0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ht="40.5" customHeight="1" x14ac:dyDescent="0.25">
      <c r="A12" s="1"/>
      <c r="B12" s="89" t="s">
        <v>240</v>
      </c>
      <c r="C12" s="90"/>
      <c r="D12" s="90"/>
      <c r="E12" s="90"/>
      <c r="F12" s="90"/>
      <c r="G12" s="90"/>
      <c r="H12" s="91"/>
      <c r="I12" s="1"/>
    </row>
    <row r="13" spans="1:9" ht="14.25" customHeight="1" x14ac:dyDescent="0.25">
      <c r="A13" s="18"/>
      <c r="B13" s="115"/>
      <c r="C13" s="115"/>
      <c r="D13" s="115"/>
      <c r="E13" s="115"/>
      <c r="F13" s="115"/>
      <c r="G13" s="115"/>
      <c r="H13" s="11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ObZUOvVHLTLKfzCXyq6Mf4H4311pI0niK0tOrxJOjtMSkAlsrS1sE//wBArci9WcqBIiH/ONgsHY8eHtItRA==" saltValue="J47T2eyh91RE0adRQJwxN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2020-10-29T12:18:23Z</dcterms:modified>
</cp:coreProperties>
</file>