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FS Spildevand AS (S07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<sst xmlns="http://schemas.openxmlformats.org/spreadsheetml/2006/main" count="607" uniqueCount="289">
  <si>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</si>
  <si>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</si>
  <si>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</si>
  <si>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</si>
  <si>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</si>
  <si>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</si>
  <si>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</si>
  <si>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</si>
  <si>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</si>
  <si>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</si>
  <si>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</si>
  <si>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</si>
  <si>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</si>
  <si>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</si>
  <si>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</si>
  <si>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</si>
  <si>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</si>
  <si>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</si>
  <si>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</si>
  <si>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</si>
  <si>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</si>
  <si>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</si>
  <si>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</si>
  <si>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</si>
  <si>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</si>
  <si>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</si>
  <si>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</si>
  <si>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</si>
  <si>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</si>
  <si>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</si>
  <si>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</si>
  <si>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</si>
  <si>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</si>
  <si>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</si>
  <si>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</si>
  <si>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</si>
  <si>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</si>
  <si>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</si>
  <si>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</si>
  <si>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</si>
  <si>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</si>
  <si>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</si>
  <si>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</si>
  <si>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</si>
  <si>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</si>
  <si>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</si>
  <si>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</si>
  <si>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</si>
  <si>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</si>
  <si>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</si>
  <si>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</si>
  <si>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</si>
  <si>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</si>
  <si>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</si>
  <si>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</si>
  <si>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</si>
  <si>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</si>
  <si>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</si>
  <si>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</si>
  <si>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</si>
  <si>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</si>
  <si>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</si>
  <si>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</si>
  <si>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</si>
  <si>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</si>
  <si>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</si>
  <si>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</si>
  <si>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</si>
  <si>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</si>
  <si>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</si>
  <si>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</si>
  <si>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</si>
  <si>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</si>
  <si>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</si>
  <si>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</si>
  <si>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</si>
  <si>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</si>
  <si>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</si>
  <si>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</si>
  <si>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</si>
  <si>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</si>
  <si>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</si>
  <si>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</si>
  <si>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</si>
  <si>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</si>
  <si>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</si>
  <si>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</si>
  <si>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</si>
  <si>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</si>
  <si>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</si>
  <si>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</si>
  <si>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</si>
  <si>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</si>
  <si>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</si>
  <si>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</si>
  <si>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</si>
  <si>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</si>
  <si>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</si>
  <si>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</si>
  <si>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</si>
  <si>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</si>
  <si>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</si>
  <si>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</si>
  <si>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</si>
  <si>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</si>
  <si>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</si>
  <si>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</si>
  <si>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</si>
  <si>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</si>
  <si>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</si>
  <si>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</si>
  <si>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</si>
  <si>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</si>
  <si>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</si>
  <si>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</si>
  <si>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</si>
  <si>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</si>
  <si>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</si>
  <si>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</si>
  <si>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</si>
  <si>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</si>
  <si>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</si>
  <si>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</si>
  <si>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</si>
  <si>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</si>
  <si>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</si>
  <si>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</si>
  <si>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</si>
  <si>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</si>
  <si>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</si>
  <si>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</si>
  <si>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</si>
  <si>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</si>
  <si>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</si>
  <si>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</si>
  <si>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</si>
  <si>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</si>
  <si>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</si>
  <si>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</si>
  <si>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</si>
  <si>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</si>
  <si>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</si>
  <si>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</si>
  <si>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</si>
  <si>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</si>
  <si>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</si>
  <si>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</si>
  <si>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</si>
  <si>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</si>
  <si>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</si>
  <si>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</si>
  <si>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</si>
  <si>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</si>
  <si>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</si>
  <si>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</si>
  <si>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</si>
  <si>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</si>
  <si>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</si>
  <si>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</si>
  <si>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</si>
  <si>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</si>
  <si>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</si>
  <si>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</si>
  <si>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</si>
  <si>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</si>
  <si>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</si>
  <si>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</si>
  <si>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</si>
  <si>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</si>
  <si>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</si>
  <si>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</si>
  <si>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</si>
  <si>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</si>
  <si>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</si>
  <si>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</si>
  <si>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</si>
  <si>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</si>
  <si>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</si>
  <si>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</si>
  <si>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</si>
  <si>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</si>
  <si>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</si>
  <si>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</si>
  <si>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</si>
  <si>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</si>
  <si>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</si>
  <si>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</si>
  <si>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</si>
  <si>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</si>
  <si>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</si>
  <si>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</si>
  <si>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</si>
  <si>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</si>
  <si>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</si>
  <si>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</si>
  <si>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</si>
  <si>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</si>
  <si>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</si>
  <si>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</si>
  <si>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</si>
  <si>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</si>
  <si>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</si>
  <si>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</si>
  <si>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</si>
  <si>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</si>
  <si>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</si>
  <si>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</si>
  <si>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</si>
  <si>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</si>
  <si>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</si>
  <si>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</si>
  <si>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</si>
  <si>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</si>
  <si>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</si>
  <si>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</si>
  <si>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</si>
  <si>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</si>
  <si>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</si>
  <si>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</si>
  <si>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</si>
  <si>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</si>
  <si>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</si>
  <si>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</si>
  <si>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</si>
  <si>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</si>
  <si>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</si>
  <si>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</si>
  <si>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</si>
  <si>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</si>
  <si>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</si>
  <si>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</si>
  <si>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</si>
  <si>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</si>
  <si>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</si>
  <si>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</si>
  <si>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</si>
  <si>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</si>
  <si>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</si>
  <si>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</si>
  <si>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</si>
  <si>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</si>
  <si>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</si>
  <si>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</si>
  <si>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</si>
  <si>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</si>
  <si>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</si>
  <si>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</si>
  <si>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</si>
  <si>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</si>
  <si>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</si>
  <si>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</si>
  <si>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</si>
  <si>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</si>
  <si>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</si>
  <si>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</si>
  <si>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</si>
  <si>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</si>
  <si>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</si>
  <si>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</si>
  <si>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</si>
  <si>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</si>
  <si>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</si>
  <si>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</si>
  <si>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</si>
  <si>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</si>
  <si>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</si>
  <si>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</si>
  <si>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</si>
  <si>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</si>
  <si>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</si>
  <si>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</si>
  <si>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</si>
  <si>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</si>
  <si>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Håndteret vandmængde</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</si>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</sst>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8" fillId="8"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6" t="s">
        <v>227</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10" t="s">
        <v>169</v>
      </c>
      <c r="E13" s="111"/>
      <c r="F13" s="111"/>
      <c r="G13" s="112"/>
      <c r="H13" s="5"/>
      <c r="I13" s="1"/>
    </row>
    <row r="14" spans="1:9" x14ac:dyDescent="0.25">
      <c r="A14" s="1"/>
      <c r="B14" s="1"/>
      <c r="C14" s="6" t="s">
        <v>16</v>
      </c>
      <c r="D14" s="95" t="s">
        <v>237</v>
      </c>
      <c r="E14" s="96"/>
      <c r="F14" s="96"/>
      <c r="G14" s="97"/>
      <c r="H14" s="5"/>
      <c r="I14" s="1"/>
    </row>
    <row r="15" spans="1:9" x14ac:dyDescent="0.25">
      <c r="A15" s="1"/>
      <c r="B15" s="1"/>
      <c r="C15" s="6" t="s">
        <v>34</v>
      </c>
      <c r="D15" s="95" t="s">
        <v>170</v>
      </c>
      <c r="E15" s="96"/>
      <c r="F15" s="96"/>
      <c r="G15" s="97"/>
      <c r="H15" s="5"/>
      <c r="I15" s="1"/>
    </row>
    <row r="16" spans="1:9" x14ac:dyDescent="0.25">
      <c r="A16" s="1"/>
      <c r="B16" s="1"/>
      <c r="C16" s="6" t="s">
        <v>35</v>
      </c>
      <c r="D16" s="95" t="s">
        <v>183</v>
      </c>
      <c r="E16" s="96"/>
      <c r="F16" s="96"/>
      <c r="G16" s="97"/>
      <c r="H16" s="5"/>
      <c r="I16" s="1"/>
    </row>
    <row r="17" spans="1:9" x14ac:dyDescent="0.25">
      <c r="A17" s="1"/>
      <c r="B17" s="1"/>
      <c r="C17" s="6" t="s">
        <v>119</v>
      </c>
      <c r="D17" s="95" t="s">
        <v>184</v>
      </c>
      <c r="E17" s="96"/>
      <c r="F17" s="96"/>
      <c r="G17" s="97"/>
      <c r="H17" s="5"/>
      <c r="I17" s="1"/>
    </row>
    <row r="18" spans="1:9" x14ac:dyDescent="0.25">
      <c r="A18" s="1"/>
      <c r="B18" s="1"/>
      <c r="C18" s="6" t="s">
        <v>106</v>
      </c>
      <c r="D18" s="107" t="s">
        <v>95</v>
      </c>
      <c r="E18" s="108"/>
      <c r="F18" s="108"/>
      <c r="G18" s="109"/>
      <c r="H18" s="5"/>
      <c r="I18" s="1"/>
    </row>
    <row r="19" spans="1:9" x14ac:dyDescent="0.25">
      <c r="A19" s="1"/>
      <c r="B19" s="1"/>
      <c r="C19" s="6" t="s">
        <v>107</v>
      </c>
      <c r="D19" s="107" t="s">
        <v>96</v>
      </c>
      <c r="E19" s="108"/>
      <c r="F19" s="108"/>
      <c r="G19" s="109"/>
      <c r="H19" s="5"/>
      <c r="I19" s="1"/>
    </row>
    <row r="20" spans="1:9" x14ac:dyDescent="0.25">
      <c r="A20" s="1"/>
      <c r="B20" s="1"/>
      <c r="C20" s="6" t="s">
        <v>7</v>
      </c>
      <c r="D20" s="107" t="s">
        <v>10</v>
      </c>
      <c r="E20" s="108"/>
      <c r="F20" s="108"/>
      <c r="G20" s="109"/>
      <c r="H20" s="5"/>
      <c r="I20" s="1"/>
    </row>
    <row r="21" spans="1:9" x14ac:dyDescent="0.25">
      <c r="A21" s="1"/>
      <c r="B21" s="1"/>
      <c r="C21" s="6" t="s">
        <v>108</v>
      </c>
      <c r="D21" s="99" t="s">
        <v>12</v>
      </c>
      <c r="E21" s="100"/>
      <c r="F21" s="100"/>
      <c r="G21" s="101"/>
      <c r="H21" s="5"/>
      <c r="I21" s="1"/>
    </row>
    <row r="22" spans="1:9" x14ac:dyDescent="0.25">
      <c r="A22" s="1"/>
      <c r="B22" s="1"/>
      <c r="C22" s="6" t="s">
        <v>83</v>
      </c>
      <c r="D22" s="102" t="s">
        <v>185</v>
      </c>
      <c r="E22" s="103"/>
      <c r="F22" s="103"/>
      <c r="G22" s="104"/>
      <c r="H22" s="5"/>
      <c r="I22" s="1"/>
    </row>
    <row r="23" spans="1:9" x14ac:dyDescent="0.25">
      <c r="A23" s="1"/>
      <c r="B23" s="1"/>
      <c r="C23" s="6" t="s">
        <v>8</v>
      </c>
      <c r="D23" s="102" t="s">
        <v>255</v>
      </c>
      <c r="E23" s="103"/>
      <c r="F23" s="103"/>
      <c r="G23" s="104"/>
      <c r="H23" s="5"/>
      <c r="I23" s="1"/>
    </row>
    <row r="24" spans="1:9" x14ac:dyDescent="0.25">
      <c r="A24" s="1"/>
      <c r="B24" s="1"/>
      <c r="C24" s="6" t="s">
        <v>9</v>
      </c>
      <c r="D24" s="102" t="s">
        <v>186</v>
      </c>
      <c r="E24" s="103"/>
      <c r="F24" s="103"/>
      <c r="G24" s="104"/>
      <c r="H24" s="5"/>
      <c r="I24" s="1"/>
    </row>
    <row r="25" spans="1:9" x14ac:dyDescent="0.25">
      <c r="A25" s="1"/>
      <c r="B25" s="1"/>
      <c r="C25" s="6" t="s">
        <v>248</v>
      </c>
      <c r="D25" s="102" t="s">
        <v>239</v>
      </c>
      <c r="E25" s="103"/>
      <c r="F25" s="103"/>
      <c r="G25" s="104"/>
      <c r="H25" s="1"/>
      <c r="I25" s="1"/>
    </row>
    <row r="26" spans="1:9" x14ac:dyDescent="0.25">
      <c r="A26" s="1"/>
      <c r="B26" s="1"/>
      <c r="C26" s="6" t="s">
        <v>249</v>
      </c>
      <c r="D26" s="102" t="s">
        <v>84</v>
      </c>
      <c r="E26" s="103"/>
      <c r="F26" s="103"/>
      <c r="G26" s="104"/>
      <c r="H26" s="1"/>
      <c r="I26" s="1"/>
    </row>
    <row r="27" spans="1:9" x14ac:dyDescent="0.25">
      <c r="A27" s="1"/>
      <c r="B27" s="1"/>
      <c r="C27" s="6" t="s">
        <v>250</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251</v>
      </c>
      <c r="D31" s="113" t="s">
        <v>105</v>
      </c>
      <c r="E31" s="114"/>
      <c r="F31" s="114"/>
      <c r="G31" s="11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AKf9fTZxZRiFtmP37Y85ft1IUeLtXeVKB8MYPnSQHWP0DHwFf9z8h4w9/3190Ajr7sD6z9YvjDj7pyq6pyGSg==" saltValue="2+MC6aztp/Y5laf05ZI7n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111</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200</v>
      </c>
      <c r="C8" s="125"/>
      <c r="D8" s="126"/>
      <c r="E8" s="1"/>
      <c r="F8" s="1"/>
    </row>
    <row r="9" spans="1:6" ht="15" customHeight="1" x14ac:dyDescent="0.25">
      <c r="A9" s="1"/>
      <c r="B9" s="26" t="s">
        <v>32</v>
      </c>
      <c r="C9" s="54" t="s">
        <v>242</v>
      </c>
      <c r="D9" s="11"/>
      <c r="E9" s="1"/>
      <c r="F9" s="1"/>
    </row>
    <row r="10" spans="1:6" x14ac:dyDescent="0.25">
      <c r="A10" s="1"/>
      <c r="B10" s="90" t="s">
        <v>268</v>
      </c>
      <c r="C10" s="9">
        <v>2048486</v>
      </c>
      <c r="D10" s="14" t="s">
        <v>3</v>
      </c>
      <c r="E10" s="1"/>
      <c r="F10" s="1"/>
    </row>
    <row r="11" spans="1:6" x14ac:dyDescent="0.25">
      <c r="A11" s="1"/>
      <c r="B11" s="90" t="s">
        <v>269</v>
      </c>
      <c r="C11" s="9">
        <v>102453</v>
      </c>
      <c r="D11" s="14" t="s">
        <v>3</v>
      </c>
      <c r="E11" s="1"/>
      <c r="F11" s="1"/>
    </row>
    <row r="12" spans="1:6" x14ac:dyDescent="0.25">
      <c r="A12" s="1"/>
      <c r="B12" s="90" t="s">
        <v>270</v>
      </c>
      <c r="C12" s="9">
        <v>414029</v>
      </c>
      <c r="D12" s="14" t="s">
        <v>3</v>
      </c>
      <c r="E12" s="1"/>
      <c r="F12" s="1"/>
    </row>
    <row r="13" spans="1:6" x14ac:dyDescent="0.25">
      <c r="A13" s="1"/>
      <c r="B13" s="90" t="s">
        <v>271</v>
      </c>
      <c r="C13" s="9">
        <v>91032</v>
      </c>
      <c r="D13" s="14" t="s">
        <v>3</v>
      </c>
      <c r="E13" s="1"/>
      <c r="F13" s="1"/>
    </row>
    <row r="14" spans="1:6" x14ac:dyDescent="0.25">
      <c r="A14" s="1"/>
      <c r="B14" s="32" t="s">
        <v>201</v>
      </c>
      <c r="C14" s="12">
        <f>SUM(C10:C13)</f>
        <v>2656000</v>
      </c>
      <c r="D14" s="13" t="s">
        <v>3</v>
      </c>
      <c r="E14" s="1"/>
      <c r="F14" s="1"/>
    </row>
    <row r="15" spans="1:6" x14ac:dyDescent="0.25">
      <c r="A15" s="1"/>
      <c r="B15" s="32" t="s">
        <v>202</v>
      </c>
      <c r="C15" s="12">
        <f>C14*(1+'Fane 15. Nøgletal'!C15)^2</f>
        <v>2848473.30816</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4" t="s">
        <v>117</v>
      </c>
      <c r="C18" s="125"/>
      <c r="D18" s="126"/>
      <c r="E18" s="1"/>
      <c r="F18" s="1"/>
    </row>
    <row r="19" spans="1:6" x14ac:dyDescent="0.25">
      <c r="A19" s="1"/>
      <c r="B19" s="90" t="s">
        <v>99</v>
      </c>
      <c r="C19" s="9">
        <v>0</v>
      </c>
      <c r="D19" s="14" t="s">
        <v>3</v>
      </c>
      <c r="E19" s="1"/>
      <c r="F19" s="1"/>
    </row>
    <row r="20" spans="1:6" x14ac:dyDescent="0.25">
      <c r="A20" s="1"/>
      <c r="B20" s="90" t="s">
        <v>129</v>
      </c>
      <c r="C20" s="9">
        <v>0</v>
      </c>
      <c r="D20" s="14" t="s">
        <v>3</v>
      </c>
      <c r="E20" s="1"/>
      <c r="F20" s="1"/>
    </row>
    <row r="21" spans="1:6" x14ac:dyDescent="0.25">
      <c r="A21" s="1"/>
      <c r="B21" s="90" t="s">
        <v>155</v>
      </c>
      <c r="C21" s="9">
        <v>0</v>
      </c>
      <c r="D21" s="14" t="s">
        <v>3</v>
      </c>
      <c r="E21" s="1"/>
      <c r="F21" s="1"/>
    </row>
    <row r="22" spans="1:6" x14ac:dyDescent="0.25">
      <c r="A22" s="1"/>
      <c r="B22" s="33" t="s">
        <v>203</v>
      </c>
      <c r="C22" s="9">
        <v>0</v>
      </c>
      <c r="D22" s="40" t="s">
        <v>3</v>
      </c>
      <c r="E22" s="1"/>
      <c r="F22" s="1"/>
    </row>
    <row r="23" spans="1:6" x14ac:dyDescent="0.25">
      <c r="A23" s="1"/>
      <c r="B23" s="124"/>
      <c r="C23" s="125"/>
      <c r="D23" s="126"/>
      <c r="E23" s="1"/>
      <c r="F23" s="1"/>
    </row>
    <row r="24" spans="1:6" x14ac:dyDescent="0.25">
      <c r="A24" s="1"/>
      <c r="B24" s="1"/>
      <c r="C24" s="1"/>
      <c r="D24" s="1"/>
      <c r="E24" s="1"/>
      <c r="F24" s="1"/>
    </row>
    <row r="25" spans="1:6" x14ac:dyDescent="0.25">
      <c r="A25" s="1"/>
      <c r="B25" s="1"/>
      <c r="C25" s="1"/>
      <c r="D25" s="1"/>
      <c r="E25" s="1"/>
      <c r="F25" s="1"/>
    </row>
    <row r="26" spans="1:6" x14ac:dyDescent="0.25">
      <c r="A26" s="1"/>
      <c r="B26" s="124" t="s">
        <v>98</v>
      </c>
      <c r="C26" s="125"/>
      <c r="D26" s="126"/>
      <c r="E26" s="1"/>
      <c r="F26" s="1"/>
    </row>
    <row r="27" spans="1:6" x14ac:dyDescent="0.25">
      <c r="A27" s="1"/>
      <c r="B27" s="90" t="s">
        <v>99</v>
      </c>
      <c r="C27" s="9">
        <v>0</v>
      </c>
      <c r="D27" s="14" t="s">
        <v>3</v>
      </c>
      <c r="E27" s="1"/>
      <c r="F27" s="1"/>
    </row>
    <row r="28" spans="1:6" x14ac:dyDescent="0.25">
      <c r="A28" s="1"/>
      <c r="B28" s="90" t="s">
        <v>129</v>
      </c>
      <c r="C28" s="9">
        <v>0</v>
      </c>
      <c r="D28" s="14" t="s">
        <v>3</v>
      </c>
      <c r="E28" s="1"/>
      <c r="F28" s="1"/>
    </row>
    <row r="29" spans="1:6" x14ac:dyDescent="0.25">
      <c r="A29" s="1"/>
      <c r="B29" s="90" t="s">
        <v>155</v>
      </c>
      <c r="C29" s="9">
        <v>0</v>
      </c>
      <c r="D29" s="14" t="s">
        <v>3</v>
      </c>
      <c r="E29" s="1"/>
      <c r="F29" s="1"/>
    </row>
    <row r="30" spans="1:6" x14ac:dyDescent="0.25">
      <c r="A30" s="1"/>
      <c r="B30" s="33" t="s">
        <v>203</v>
      </c>
      <c r="C30" s="9">
        <v>0</v>
      </c>
      <c r="D30" s="40" t="s">
        <v>3</v>
      </c>
      <c r="E30" s="1"/>
      <c r="F30" s="1"/>
    </row>
    <row r="31" spans="1:6" x14ac:dyDescent="0.25">
      <c r="A31" s="1"/>
      <c r="B31" s="124"/>
      <c r="C31" s="125"/>
      <c r="D31" s="126"/>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sheetData>
  <sheetProtection algorithmName="SHA-512" hashValue="kK9BNfJORfb2C6x18kHC+2ZeiK/OPtf0kUceFFi6CNjIpcnR16kaBJhaN773h0+NN833STH2oZ5imx9AKsEz5g==" saltValue="brK4Ky9964jzCHqZVS1Uq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204</v>
      </c>
      <c r="C3" s="132"/>
      <c r="D3" s="132"/>
      <c r="E3" s="132"/>
      <c r="F3" s="132"/>
      <c r="G3" s="1"/>
    </row>
    <row r="4" spans="1:7" ht="15" customHeight="1" x14ac:dyDescent="0.25">
      <c r="A4" s="1"/>
      <c r="B4" s="132"/>
      <c r="C4" s="132"/>
      <c r="D4" s="132"/>
      <c r="E4" s="132"/>
      <c r="F4" s="132"/>
      <c r="G4" s="1"/>
    </row>
    <row r="5" spans="1:7" ht="15" customHeight="1" x14ac:dyDescent="0.25">
      <c r="A5" s="1"/>
      <c r="B5" s="78"/>
      <c r="C5" s="78"/>
      <c r="D5" s="78"/>
      <c r="E5" s="78"/>
      <c r="F5" s="78"/>
      <c r="G5" s="1"/>
    </row>
    <row r="6" spans="1:7" ht="15" customHeight="1" x14ac:dyDescent="0.25">
      <c r="A6" s="1"/>
      <c r="B6" s="78"/>
      <c r="C6" s="78"/>
      <c r="D6" s="78"/>
      <c r="E6" s="78"/>
      <c r="F6" s="78"/>
      <c r="G6" s="1"/>
    </row>
    <row r="7" spans="1:7" x14ac:dyDescent="0.25">
      <c r="A7" s="1"/>
      <c r="B7" s="1"/>
      <c r="C7" s="1"/>
      <c r="D7" s="1"/>
      <c r="E7" s="1"/>
      <c r="F7" s="1"/>
      <c r="G7" s="1"/>
    </row>
    <row r="8" spans="1:7" x14ac:dyDescent="0.25">
      <c r="A8" s="1"/>
      <c r="B8" s="124" t="s">
        <v>178</v>
      </c>
      <c r="C8" s="125"/>
      <c r="D8" s="125"/>
      <c r="E8" s="125"/>
      <c r="F8" s="126"/>
      <c r="G8" s="1"/>
    </row>
    <row r="9" spans="1:7" x14ac:dyDescent="0.25">
      <c r="A9" s="1"/>
      <c r="B9" s="134" t="s">
        <v>205</v>
      </c>
      <c r="C9" s="135"/>
      <c r="D9" s="136"/>
      <c r="E9" s="9">
        <v>-4082944.4452468753</v>
      </c>
      <c r="F9" s="14" t="s">
        <v>3</v>
      </c>
      <c r="G9" s="1"/>
    </row>
    <row r="10" spans="1:7" x14ac:dyDescent="0.25">
      <c r="A10" s="1"/>
      <c r="B10" s="134" t="s">
        <v>265</v>
      </c>
      <c r="C10" s="135"/>
      <c r="D10" s="136"/>
      <c r="E10" s="9">
        <v>-123735.6194556281</v>
      </c>
      <c r="F10" s="14" t="s">
        <v>3</v>
      </c>
      <c r="G10" s="1"/>
    </row>
    <row r="11" spans="1:7" x14ac:dyDescent="0.25">
      <c r="A11" s="1"/>
      <c r="B11" s="32"/>
      <c r="C11" s="27"/>
      <c r="D11" s="27"/>
      <c r="E11" s="27"/>
      <c r="F11" s="19"/>
      <c r="G11" s="1"/>
    </row>
    <row r="12" spans="1:7" ht="67.5" customHeight="1" x14ac:dyDescent="0.25">
      <c r="A12" s="1"/>
      <c r="B12" s="127" t="s">
        <v>266</v>
      </c>
      <c r="C12" s="128"/>
      <c r="D12" s="128"/>
      <c r="E12" s="128"/>
      <c r="F12" s="129"/>
      <c r="G12" s="1"/>
    </row>
    <row r="13" spans="1:7" ht="27" customHeight="1" x14ac:dyDescent="0.25">
      <c r="A13" s="1"/>
      <c r="B13" s="1"/>
      <c r="C13" s="1"/>
      <c r="D13" s="1"/>
      <c r="E13" s="1"/>
      <c r="F13" s="1"/>
      <c r="G13" s="1"/>
    </row>
    <row r="14" spans="1:7" ht="28.5" customHeight="1" x14ac:dyDescent="0.25">
      <c r="A14" s="1"/>
      <c r="B14" s="124" t="s">
        <v>179</v>
      </c>
      <c r="C14" s="125"/>
      <c r="D14" s="125"/>
      <c r="E14" s="125"/>
      <c r="F14" s="126"/>
      <c r="G14" s="1"/>
    </row>
    <row r="15" spans="1:7" x14ac:dyDescent="0.25">
      <c r="A15" s="1"/>
      <c r="B15" s="134" t="s">
        <v>284</v>
      </c>
      <c r="C15" s="135"/>
      <c r="D15" s="136"/>
      <c r="E15" s="9">
        <v>-61867.858714692295</v>
      </c>
      <c r="F15" s="14" t="s">
        <v>3</v>
      </c>
      <c r="G15" s="1"/>
    </row>
    <row r="16" spans="1:7" x14ac:dyDescent="0.25">
      <c r="A16" s="1"/>
      <c r="B16" s="134" t="s">
        <v>285</v>
      </c>
      <c r="C16" s="135"/>
      <c r="D16" s="136"/>
      <c r="E16" s="9">
        <v>-61867.858714692295</v>
      </c>
      <c r="F16" s="14" t="s">
        <v>3</v>
      </c>
      <c r="G16" s="1"/>
    </row>
    <row r="17" spans="1:7" x14ac:dyDescent="0.25">
      <c r="A17" s="1"/>
      <c r="B17" s="32"/>
      <c r="C17" s="27"/>
      <c r="D17" s="27"/>
      <c r="E17" s="27"/>
      <c r="F17" s="19"/>
      <c r="G17" s="1"/>
    </row>
    <row r="18" spans="1:7" ht="31.5" customHeight="1" x14ac:dyDescent="0.25">
      <c r="A18" s="1"/>
      <c r="B18" s="127" t="s">
        <v>180</v>
      </c>
      <c r="C18" s="128"/>
      <c r="D18" s="128"/>
      <c r="E18" s="128"/>
      <c r="F18" s="129"/>
      <c r="G18" s="1"/>
    </row>
    <row r="19" spans="1:7" ht="28.5" customHeight="1" x14ac:dyDescent="0.25">
      <c r="A19" s="1"/>
      <c r="B19" s="1"/>
      <c r="C19" s="1"/>
      <c r="D19" s="1"/>
      <c r="E19" s="1"/>
      <c r="F19" s="1"/>
      <c r="G19" s="1"/>
    </row>
    <row r="20" spans="1:7" ht="28.5" customHeight="1" x14ac:dyDescent="0.25">
      <c r="A20" s="1"/>
      <c r="B20" s="82" t="s">
        <v>206</v>
      </c>
      <c r="C20" s="83"/>
      <c r="D20" s="83"/>
      <c r="E20" s="83"/>
      <c r="F20" s="84"/>
      <c r="G20" s="1"/>
    </row>
    <row r="21" spans="1:7" x14ac:dyDescent="0.25">
      <c r="A21" s="1"/>
      <c r="B21" s="87" t="s">
        <v>207</v>
      </c>
      <c r="C21" s="88"/>
      <c r="D21" s="89"/>
      <c r="E21" s="9">
        <v>66094286.442270726</v>
      </c>
      <c r="F21" s="14" t="s">
        <v>3</v>
      </c>
      <c r="G21" s="1"/>
    </row>
    <row r="22" spans="1:7" x14ac:dyDescent="0.25">
      <c r="A22" s="1"/>
      <c r="B22" s="87" t="s">
        <v>208</v>
      </c>
      <c r="C22" s="88"/>
      <c r="D22" s="89"/>
      <c r="E22" s="9">
        <v>65546859</v>
      </c>
      <c r="F22" s="14" t="s">
        <v>3</v>
      </c>
      <c r="G22" s="1"/>
    </row>
    <row r="23" spans="1:7" x14ac:dyDescent="0.25">
      <c r="A23" s="1"/>
      <c r="B23" s="87" t="s">
        <v>33</v>
      </c>
      <c r="C23" s="88"/>
      <c r="D23" s="89"/>
      <c r="E23" s="9">
        <v>0</v>
      </c>
      <c r="F23" s="14" t="s">
        <v>3</v>
      </c>
      <c r="G23" s="1"/>
    </row>
    <row r="24" spans="1:7" x14ac:dyDescent="0.25">
      <c r="A24" s="1"/>
      <c r="B24" s="85" t="s">
        <v>274</v>
      </c>
      <c r="C24" s="86"/>
      <c r="D24" s="92"/>
      <c r="E24" s="68">
        <f>E21-(E22-E23)</f>
        <v>547427.44227072597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4" t="s">
        <v>286</v>
      </c>
      <c r="C27" s="125"/>
      <c r="D27" s="125"/>
      <c r="E27" s="125"/>
      <c r="F27" s="126"/>
      <c r="G27" s="1"/>
    </row>
    <row r="28" spans="1:7" x14ac:dyDescent="0.25">
      <c r="A28" s="1"/>
      <c r="B28" s="130" t="s">
        <v>287</v>
      </c>
      <c r="C28" s="131"/>
      <c r="D28" s="155"/>
      <c r="E28" s="69">
        <f>IF(AND(E9&gt;0,(E9+E24)&gt;0),0,IF(AND(E9&gt;0,(E9+E24)&lt;0),0,IF(AND(E9&lt;0,E24&gt;0,E10=0),0,IF(AND(E9&lt;0,E24&gt;0,ABS(E10)&lt;ABS(E24)),ABS(E16),IF(AND(E9&lt;0,E24&gt;0,ABS(E10)&gt;ABS(E24),ABS(E16)&gt;ABS(E24)),-(ABS(E16)-ABS(E24)),IF(AND(E9&lt;0,E24&gt;0,ABS(E10)&gt;ABS(E24),ABS(E16)&lt;ABS(E24)),E24-ABS(E16),IF(AND(E9&lt;0,E24&lt;0),E16,0)))))))</f>
        <v>61867.858714692295</v>
      </c>
      <c r="F28" s="17" t="s">
        <v>3</v>
      </c>
      <c r="G28" s="1"/>
    </row>
    <row r="29" spans="1:7" x14ac:dyDescent="0.25">
      <c r="A29" s="1"/>
      <c r="B29" s="124"/>
      <c r="C29" s="125"/>
      <c r="D29" s="125"/>
      <c r="E29" s="125"/>
      <c r="F29" s="126"/>
      <c r="G29" s="1"/>
    </row>
    <row r="30" spans="1:7" x14ac:dyDescent="0.25">
      <c r="A30" s="1"/>
      <c r="B30" s="1"/>
      <c r="C30" s="1"/>
      <c r="D30" s="1"/>
      <c r="E30" s="1"/>
      <c r="F30" s="1"/>
      <c r="G30" s="1"/>
    </row>
    <row r="31" spans="1:7" ht="28.5" customHeight="1" x14ac:dyDescent="0.25">
      <c r="A31" s="1"/>
      <c r="B31" s="124" t="s">
        <v>267</v>
      </c>
      <c r="C31" s="125"/>
      <c r="D31" s="125"/>
      <c r="E31" s="125"/>
      <c r="F31" s="126"/>
      <c r="G31" s="1"/>
    </row>
    <row r="32" spans="1:7" x14ac:dyDescent="0.25">
      <c r="A32" s="1"/>
      <c r="B32" s="151" t="s">
        <v>143</v>
      </c>
      <c r="C32" s="152"/>
      <c r="D32" s="153"/>
      <c r="E32" s="70">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69">
        <f>E32/E33</f>
        <v>0</v>
      </c>
      <c r="F34" s="17" t="s">
        <v>3</v>
      </c>
      <c r="G34" s="1"/>
    </row>
    <row r="35" spans="1:7" x14ac:dyDescent="0.25">
      <c r="A35" s="1"/>
      <c r="B35" s="148"/>
      <c r="C35" s="149"/>
      <c r="D35" s="149"/>
      <c r="E35" s="149"/>
      <c r="F35" s="15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VtRpsKtYJKyYXiexDMtjWVYOb6Lcd//IE66knsmcHQFMN2q++skV5qdNId36V0uFWVPk35m6HfgLdtEVjMpmUw==" saltValue="QTk3PnUiyALMforUknaK9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252</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264</v>
      </c>
      <c r="C8" s="125"/>
      <c r="D8" s="125"/>
      <c r="E8" s="125"/>
      <c r="F8" s="125"/>
      <c r="G8" s="125"/>
      <c r="H8" s="126"/>
      <c r="I8" s="1"/>
    </row>
    <row r="9" spans="1:9" ht="15" customHeight="1" x14ac:dyDescent="0.25">
      <c r="A9" s="1"/>
      <c r="B9" s="121" t="s">
        <v>253</v>
      </c>
      <c r="C9" s="122"/>
      <c r="D9" s="122"/>
      <c r="E9" s="122"/>
      <c r="F9" s="122"/>
      <c r="G9" s="122"/>
      <c r="H9" s="123"/>
      <c r="I9" s="1"/>
    </row>
    <row r="10" spans="1:9" x14ac:dyDescent="0.25">
      <c r="A10" s="1"/>
      <c r="B10" s="156" t="s">
        <v>276</v>
      </c>
      <c r="C10" s="157"/>
      <c r="D10" s="157"/>
      <c r="E10" s="157"/>
      <c r="F10" s="158"/>
      <c r="G10" s="9">
        <v>0</v>
      </c>
      <c r="H10" s="9" t="s">
        <v>3</v>
      </c>
      <c r="I10" s="1"/>
    </row>
    <row r="11" spans="1:9" x14ac:dyDescent="0.25">
      <c r="A11" s="1"/>
      <c r="B11" s="156" t="s">
        <v>277</v>
      </c>
      <c r="C11" s="157"/>
      <c r="D11" s="157"/>
      <c r="E11" s="157"/>
      <c r="F11" s="158"/>
      <c r="G11" s="9">
        <v>0</v>
      </c>
      <c r="H11" s="9" t="s">
        <v>3</v>
      </c>
      <c r="I11" s="1"/>
    </row>
    <row r="12" spans="1:9" x14ac:dyDescent="0.25">
      <c r="A12" s="1"/>
      <c r="B12" s="156" t="s">
        <v>278</v>
      </c>
      <c r="C12" s="157"/>
      <c r="D12" s="157"/>
      <c r="E12" s="157"/>
      <c r="F12" s="158"/>
      <c r="G12" s="9">
        <v>0</v>
      </c>
      <c r="H12" s="9" t="s">
        <v>3</v>
      </c>
      <c r="I12" s="1"/>
    </row>
    <row r="13" spans="1:9" x14ac:dyDescent="0.25">
      <c r="A13" s="1"/>
      <c r="B13" s="156" t="s">
        <v>279</v>
      </c>
      <c r="C13" s="157"/>
      <c r="D13" s="157"/>
      <c r="E13" s="157"/>
      <c r="F13" s="158"/>
      <c r="G13" s="9">
        <v>0</v>
      </c>
      <c r="H13" s="9" t="s">
        <v>3</v>
      </c>
      <c r="I13" s="1"/>
    </row>
    <row r="14" spans="1:9" x14ac:dyDescent="0.25">
      <c r="A14" s="1"/>
      <c r="B14" s="156" t="s">
        <v>280</v>
      </c>
      <c r="C14" s="157"/>
      <c r="D14" s="157"/>
      <c r="E14" s="157"/>
      <c r="F14" s="158"/>
      <c r="G14" s="9">
        <v>0</v>
      </c>
      <c r="H14" s="9" t="s">
        <v>3</v>
      </c>
      <c r="I14" s="1"/>
    </row>
    <row r="15" spans="1:9" x14ac:dyDescent="0.25">
      <c r="A15" s="1"/>
      <c r="B15" s="156" t="s">
        <v>281</v>
      </c>
      <c r="C15" s="157"/>
      <c r="D15" s="157"/>
      <c r="E15" s="157"/>
      <c r="F15" s="158"/>
      <c r="G15" s="9">
        <v>0</v>
      </c>
      <c r="H15" s="9" t="s">
        <v>3</v>
      </c>
      <c r="I15" s="1"/>
    </row>
    <row r="16" spans="1:9" x14ac:dyDescent="0.25">
      <c r="A16" s="1"/>
      <c r="B16" s="156" t="s">
        <v>282</v>
      </c>
      <c r="C16" s="157"/>
      <c r="D16" s="157"/>
      <c r="E16" s="157"/>
      <c r="F16" s="158"/>
      <c r="G16" s="9">
        <v>0</v>
      </c>
      <c r="H16" s="9" t="s">
        <v>3</v>
      </c>
      <c r="I16" s="1"/>
    </row>
    <row r="17" spans="1:9" x14ac:dyDescent="0.25">
      <c r="A17" s="1"/>
      <c r="B17" s="156" t="s">
        <v>283</v>
      </c>
      <c r="C17" s="157"/>
      <c r="D17" s="157"/>
      <c r="E17" s="157"/>
      <c r="F17" s="158"/>
      <c r="G17" s="9">
        <v>0</v>
      </c>
      <c r="H17" s="9" t="s">
        <v>3</v>
      </c>
      <c r="I17" s="1"/>
    </row>
    <row r="18" spans="1:9" x14ac:dyDescent="0.25">
      <c r="A18" s="1"/>
      <c r="B18" s="124" t="s">
        <v>254</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J15LcHcjDAok2cs/styL+Vz4IpJu+abegMdc7yQMddR4vpdOEPoz6ZG63ZAOL83pYTjfTgY6Lcia6fFl+RqsPg==" saltValue="l6zxTJOueWOp8R4o2Unq+A=="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256</v>
      </c>
      <c r="C3" s="132"/>
      <c r="D3" s="132"/>
      <c r="E3" s="132"/>
      <c r="F3" s="132"/>
      <c r="G3" s="1"/>
    </row>
    <row r="4" spans="1:7" ht="1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4" t="s">
        <v>209</v>
      </c>
      <c r="C9" s="125"/>
      <c r="D9" s="125"/>
      <c r="E9" s="125"/>
      <c r="F9" s="126"/>
      <c r="G9" s="1"/>
    </row>
    <row r="10" spans="1:7" x14ac:dyDescent="0.25">
      <c r="A10" s="1"/>
      <c r="B10" s="127" t="s">
        <v>100</v>
      </c>
      <c r="C10" s="128"/>
      <c r="D10" s="129"/>
      <c r="E10" s="7">
        <v>1734292.5674489408</v>
      </c>
      <c r="F10" s="8" t="s">
        <v>3</v>
      </c>
      <c r="G10" s="1"/>
    </row>
    <row r="11" spans="1:7" x14ac:dyDescent="0.25">
      <c r="A11" s="1"/>
      <c r="B11" s="134" t="s">
        <v>210</v>
      </c>
      <c r="C11" s="135"/>
      <c r="D11" s="136"/>
      <c r="E11" s="7">
        <v>429688</v>
      </c>
      <c r="F11" s="8" t="s">
        <v>3</v>
      </c>
      <c r="G11" s="1"/>
    </row>
    <row r="12" spans="1:7" x14ac:dyDescent="0.25">
      <c r="A12" s="1"/>
      <c r="B12" s="130" t="s">
        <v>101</v>
      </c>
      <c r="C12" s="131"/>
      <c r="D12" s="155"/>
      <c r="E12" s="10">
        <f>E11-E10</f>
        <v>-1304604.5674489408</v>
      </c>
      <c r="F12" s="11" t="s">
        <v>3</v>
      </c>
      <c r="G12" s="1"/>
    </row>
    <row r="13" spans="1:7" x14ac:dyDescent="0.25">
      <c r="A13" s="1"/>
      <c r="B13" s="124" t="s">
        <v>94</v>
      </c>
      <c r="C13" s="125"/>
      <c r="D13" s="125"/>
      <c r="E13" s="125"/>
      <c r="F13" s="126"/>
      <c r="G13" s="1"/>
    </row>
    <row r="14" spans="1:7" x14ac:dyDescent="0.25">
      <c r="A14" s="1"/>
      <c r="B14" s="134" t="s">
        <v>211</v>
      </c>
      <c r="C14" s="135"/>
      <c r="D14" s="136"/>
      <c r="E14" s="9">
        <v>0</v>
      </c>
      <c r="F14" s="8" t="s">
        <v>3</v>
      </c>
      <c r="G14" s="1"/>
    </row>
    <row r="15" spans="1:7" x14ac:dyDescent="0.25">
      <c r="A15" s="1"/>
      <c r="B15" s="127" t="s">
        <v>212</v>
      </c>
      <c r="C15" s="128"/>
      <c r="D15" s="129"/>
      <c r="E15" s="9">
        <v>0</v>
      </c>
      <c r="F15" s="8" t="s">
        <v>3</v>
      </c>
      <c r="G15" s="1"/>
    </row>
    <row r="16" spans="1:7" x14ac:dyDescent="0.25">
      <c r="A16" s="1"/>
      <c r="B16" s="130" t="s">
        <v>101</v>
      </c>
      <c r="C16" s="131"/>
      <c r="D16" s="155"/>
      <c r="E16" s="10">
        <f>E15-E14</f>
        <v>0</v>
      </c>
      <c r="F16" s="11" t="s">
        <v>3</v>
      </c>
      <c r="G16" s="1"/>
    </row>
    <row r="17" spans="1:7" x14ac:dyDescent="0.25">
      <c r="A17" s="1"/>
      <c r="B17" s="32" t="s">
        <v>213</v>
      </c>
      <c r="C17" s="27"/>
      <c r="D17" s="27"/>
      <c r="E17" s="12">
        <f>E12+E16</f>
        <v>-1304604.5674489408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9//M8DbPGN/q9eHIqO4GkMXQ3ov8QVFkGvOhzoheJYyibxvpNiw6EN1Ew/upV+MDh5tBUyTo1JhRnhmwrBlPg==" saltValue="44zxDFR2CjL71jndSK3uc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257</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221</v>
      </c>
      <c r="C8" s="125"/>
      <c r="D8" s="125"/>
      <c r="E8" s="125"/>
      <c r="F8" s="125"/>
      <c r="G8" s="125"/>
      <c r="H8" s="125"/>
      <c r="I8" s="125"/>
      <c r="J8" s="125"/>
      <c r="K8" s="126"/>
      <c r="L8" s="1"/>
    </row>
    <row r="9" spans="1:12" ht="39.75" customHeight="1" x14ac:dyDescent="0.25">
      <c r="A9" s="1"/>
      <c r="B9" s="18" t="s">
        <v>0</v>
      </c>
      <c r="C9" s="18" t="s">
        <v>1</v>
      </c>
      <c r="D9" s="159" t="s">
        <v>247</v>
      </c>
      <c r="E9" s="160"/>
      <c r="F9" s="159" t="s">
        <v>2</v>
      </c>
      <c r="G9" s="160"/>
      <c r="H9" s="159" t="s">
        <v>246</v>
      </c>
      <c r="I9" s="160"/>
      <c r="J9" s="159" t="s">
        <v>30</v>
      </c>
      <c r="K9" s="160"/>
      <c r="L9" s="1"/>
    </row>
    <row r="10" spans="1:12" x14ac:dyDescent="0.25">
      <c r="A10" s="1"/>
      <c r="B10" s="93" t="s">
        <v>272</v>
      </c>
      <c r="C10" s="41">
        <v>0</v>
      </c>
      <c r="D10" s="9">
        <v>0</v>
      </c>
      <c r="E10" s="14" t="s">
        <v>3</v>
      </c>
      <c r="F10" s="9">
        <f>IFERROR(D10/C10,0)</f>
        <v>0</v>
      </c>
      <c r="G10" s="14" t="s">
        <v>3</v>
      </c>
      <c r="H10" s="44">
        <v>0</v>
      </c>
      <c r="I10" s="14" t="s">
        <v>3</v>
      </c>
      <c r="J10" s="44">
        <v>0</v>
      </c>
      <c r="K10" s="14" t="s">
        <v>3</v>
      </c>
      <c r="L10" s="1"/>
    </row>
    <row r="11" spans="1:12" x14ac:dyDescent="0.25">
      <c r="A11" s="1"/>
      <c r="B11" s="82" t="s">
        <v>222</v>
      </c>
      <c r="C11" s="83"/>
      <c r="D11" s="84"/>
      <c r="E11" s="84"/>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Tmmi88/Fh26eTNrP2LIGi2dAKFSXGbw7ZhdO8rzvuBeZUiMGtaqhhaxKXU6jVFpTUFFrQwdyYHhuqnckRONNtQ==" saltValue="ZTpE1QD1VzsRyOONkQUb+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258</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0" t="s">
        <v>17</v>
      </c>
      <c r="C9" s="80" t="s">
        <v>11</v>
      </c>
      <c r="D9" s="81"/>
      <c r="E9" s="80"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x14ac:dyDescent="0.25">
      <c r="A11" s="1"/>
      <c r="B11" s="23" t="s">
        <v>273</v>
      </c>
      <c r="C11" s="21">
        <v>220289</v>
      </c>
      <c r="D11" s="14" t="s">
        <v>3</v>
      </c>
      <c r="E11" s="9">
        <v>0</v>
      </c>
      <c r="F11" s="14" t="s">
        <v>3</v>
      </c>
      <c r="G11" s="1"/>
    </row>
    <row r="12" spans="1:7" x14ac:dyDescent="0.25">
      <c r="A12" s="1"/>
      <c r="B12" s="32" t="s">
        <v>156</v>
      </c>
      <c r="C12" s="12">
        <f>SUM(C10:C11)</f>
        <v>220289</v>
      </c>
      <c r="D12" s="13" t="s">
        <v>3</v>
      </c>
      <c r="E12" s="12">
        <f>SUM(E10:E11)</f>
        <v>0</v>
      </c>
      <c r="F12" s="13" t="s">
        <v>3</v>
      </c>
      <c r="G12" s="1"/>
    </row>
    <row r="13" spans="1:7" x14ac:dyDescent="0.25">
      <c r="A13" s="1"/>
      <c r="B13" s="32" t="s">
        <v>214</v>
      </c>
      <c r="C13" s="12">
        <f>C12*(1+'Fane 15. Nøgletal'!C15)</f>
        <v>228131.28840000002</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sPguSS77Ou8lqG6EE6SwFw2aI143SNj4Y2xLG4UGeuv4K6x3zdGl+CnNsvXjnI/X3O7rNnr4+zx8WJi1Q0Qkg==" saltValue="hSATJnJ+/T1IqoZMMhG7E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259</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97</v>
      </c>
      <c r="C8" s="125"/>
      <c r="D8" s="125"/>
      <c r="E8" s="125"/>
      <c r="F8" s="126"/>
      <c r="G8" s="1"/>
    </row>
    <row r="9" spans="1:7" x14ac:dyDescent="0.25">
      <c r="A9" s="1"/>
      <c r="B9" s="80" t="s">
        <v>17</v>
      </c>
      <c r="C9" s="80" t="s">
        <v>11</v>
      </c>
      <c r="D9" s="81"/>
      <c r="E9" s="80" t="s">
        <v>31</v>
      </c>
      <c r="F9" s="31"/>
      <c r="G9" s="1"/>
    </row>
    <row r="10" spans="1:7" x14ac:dyDescent="0.25">
      <c r="A10" s="1"/>
      <c r="B10" s="23" t="s">
        <v>288</v>
      </c>
      <c r="C10" s="21">
        <v>0</v>
      </c>
      <c r="D10" s="14" t="s">
        <v>3</v>
      </c>
      <c r="E10" s="9">
        <v>0</v>
      </c>
      <c r="F10" s="14" t="s">
        <v>3</v>
      </c>
      <c r="G10" s="1"/>
    </row>
    <row r="11" spans="1:7" x14ac:dyDescent="0.25">
      <c r="A11" s="1"/>
      <c r="B11" s="32" t="s">
        <v>234</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1"/>
      <c r="C14" s="161"/>
      <c r="D14" s="161"/>
      <c r="E14" s="161"/>
      <c r="F14" s="161"/>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1"/>
      <c r="C21" s="161"/>
      <c r="D21" s="161"/>
      <c r="E21" s="161"/>
      <c r="F21" s="161"/>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1"/>
      <c r="C28" s="161"/>
      <c r="D28" s="161"/>
      <c r="E28" s="161"/>
      <c r="F28" s="161"/>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jxxUvtxltsOkVlIkFmiYl0f29mhoGSaitfRmUidSiqNQUQaGOlq84MEjgTs9slcMjnUhhtdLQ+BP5f7OVH9AWg==" saltValue="PkhDaPEp9vtegW55wESbB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260</v>
      </c>
      <c r="C3" s="132"/>
      <c r="D3" s="132"/>
      <c r="E3" s="132"/>
      <c r="F3" s="132"/>
      <c r="G3" s="1"/>
    </row>
    <row r="4" spans="1:7" ht="15" customHeight="1" x14ac:dyDescent="0.25">
      <c r="A4" s="1"/>
      <c r="B4" s="132"/>
      <c r="C4" s="132"/>
      <c r="D4" s="132"/>
      <c r="E4" s="132"/>
      <c r="F4" s="132"/>
      <c r="G4" s="1"/>
    </row>
    <row r="5" spans="1:7" x14ac:dyDescent="0.25">
      <c r="A5" s="1"/>
      <c r="B5" s="132"/>
      <c r="C5" s="132"/>
      <c r="D5" s="132"/>
      <c r="E5" s="132"/>
      <c r="F5" s="13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4" t="s">
        <v>91</v>
      </c>
      <c r="C9" s="125"/>
      <c r="D9" s="125"/>
      <c r="E9" s="125"/>
      <c r="F9" s="126"/>
      <c r="G9" s="1"/>
    </row>
    <row r="10" spans="1:7" x14ac:dyDescent="0.25">
      <c r="A10" s="1"/>
      <c r="B10" s="156" t="s">
        <v>226</v>
      </c>
      <c r="C10" s="157"/>
      <c r="D10" s="158"/>
      <c r="E10" s="9">
        <v>1676203.4598623028</v>
      </c>
      <c r="F10" s="14" t="s">
        <v>3</v>
      </c>
      <c r="G10" s="1"/>
    </row>
    <row r="11" spans="1:7" x14ac:dyDescent="0.25">
      <c r="A11" s="1"/>
      <c r="B11" s="118" t="s">
        <v>10</v>
      </c>
      <c r="C11" s="119"/>
      <c r="D11" s="120"/>
      <c r="E11" s="9">
        <f>-E10*'Fane 5. Individuelt eff. krav'!G9</f>
        <v>0</v>
      </c>
      <c r="F11" s="14" t="s">
        <v>3</v>
      </c>
      <c r="G11" s="1"/>
    </row>
    <row r="12" spans="1:7" x14ac:dyDescent="0.25">
      <c r="A12" s="1"/>
      <c r="B12" s="118" t="s">
        <v>24</v>
      </c>
      <c r="C12" s="119"/>
      <c r="D12" s="120"/>
      <c r="E12" s="9">
        <f>-E10*'Fane 15. Nøgletal'!C31</f>
        <v>-33524.069197246055</v>
      </c>
      <c r="F12" s="14" t="s">
        <v>3</v>
      </c>
      <c r="G12" s="1"/>
    </row>
    <row r="13" spans="1:7" x14ac:dyDescent="0.25">
      <c r="A13" s="1"/>
      <c r="B13" s="124" t="s">
        <v>92</v>
      </c>
      <c r="C13" s="125"/>
      <c r="D13" s="126"/>
      <c r="E13" s="12">
        <f>SUM(E10:E12)*(1+'Fane 15. Nøgletal'!C15)^2</f>
        <v>1761720.0294329622</v>
      </c>
      <c r="F13" s="13" t="s">
        <v>3</v>
      </c>
      <c r="G13" s="1"/>
    </row>
    <row r="14" spans="1:7" x14ac:dyDescent="0.25">
      <c r="A14" s="1"/>
      <c r="B14" s="1"/>
      <c r="C14" s="1"/>
      <c r="D14" s="1"/>
      <c r="E14" s="1"/>
      <c r="F14" s="1"/>
      <c r="G14" s="1"/>
    </row>
    <row r="15" spans="1:7" ht="15" customHeight="1" x14ac:dyDescent="0.25">
      <c r="A15" s="1"/>
      <c r="B15" s="124" t="s">
        <v>130</v>
      </c>
      <c r="C15" s="125"/>
      <c r="D15" s="125"/>
      <c r="E15" s="125"/>
      <c r="F15" s="126"/>
      <c r="G15" s="1"/>
    </row>
    <row r="16" spans="1:7" x14ac:dyDescent="0.25">
      <c r="A16" s="1"/>
      <c r="B16" s="156" t="s">
        <v>226</v>
      </c>
      <c r="C16" s="157"/>
      <c r="D16" s="158"/>
      <c r="E16" s="9">
        <v>1690302.3583308221</v>
      </c>
      <c r="F16" s="14" t="s">
        <v>3</v>
      </c>
      <c r="G16" s="1"/>
    </row>
    <row r="17" spans="1:7" x14ac:dyDescent="0.25">
      <c r="A17" s="1"/>
      <c r="B17" s="118" t="s">
        <v>10</v>
      </c>
      <c r="C17" s="119"/>
      <c r="D17" s="120"/>
      <c r="E17" s="9">
        <f>-E16*'Fane 5. Individuelt eff. krav'!G9</f>
        <v>0</v>
      </c>
      <c r="F17" s="14" t="s">
        <v>3</v>
      </c>
      <c r="G17" s="1"/>
    </row>
    <row r="18" spans="1:7" x14ac:dyDescent="0.25">
      <c r="A18" s="1"/>
      <c r="B18" s="118" t="s">
        <v>24</v>
      </c>
      <c r="C18" s="119"/>
      <c r="D18" s="120"/>
      <c r="E18" s="9">
        <f>-E16*'Fane 15. Nøgletal'!C31</f>
        <v>-33806.047166616445</v>
      </c>
      <c r="F18" s="14" t="s">
        <v>3</v>
      </c>
      <c r="G18" s="1"/>
    </row>
    <row r="19" spans="1:7" x14ac:dyDescent="0.25">
      <c r="A19" s="1"/>
      <c r="B19" s="124" t="s">
        <v>131</v>
      </c>
      <c r="C19" s="125"/>
      <c r="D19" s="126"/>
      <c r="E19" s="12">
        <f>SUM(E16:E18)*(1+'Fane 15. Nøgletal'!C15)^3</f>
        <v>1839782.9865183653</v>
      </c>
      <c r="F19" s="13" t="s">
        <v>3</v>
      </c>
      <c r="G19" s="1"/>
    </row>
    <row r="20" spans="1:7" x14ac:dyDescent="0.25">
      <c r="A20" s="1"/>
      <c r="B20" s="1"/>
      <c r="C20" s="1"/>
      <c r="D20" s="1"/>
      <c r="E20" s="1"/>
      <c r="F20" s="1"/>
      <c r="G20" s="1"/>
    </row>
    <row r="21" spans="1:7" ht="15" customHeight="1" x14ac:dyDescent="0.25">
      <c r="A21" s="1"/>
      <c r="B21" s="124" t="s">
        <v>157</v>
      </c>
      <c r="C21" s="125"/>
      <c r="D21" s="125"/>
      <c r="E21" s="125"/>
      <c r="F21" s="126"/>
      <c r="G21" s="1"/>
    </row>
    <row r="22" spans="1:7" x14ac:dyDescent="0.25">
      <c r="A22" s="1"/>
      <c r="B22" s="156" t="s">
        <v>226</v>
      </c>
      <c r="C22" s="157"/>
      <c r="D22" s="158"/>
      <c r="E22" s="9">
        <v>1638333.8732110404</v>
      </c>
      <c r="F22" s="14" t="s">
        <v>3</v>
      </c>
      <c r="G22" s="1"/>
    </row>
    <row r="23" spans="1:7" x14ac:dyDescent="0.25">
      <c r="A23" s="1"/>
      <c r="B23" s="118" t="s">
        <v>10</v>
      </c>
      <c r="C23" s="119"/>
      <c r="D23" s="120"/>
      <c r="E23" s="9">
        <f>-E22*'Fane 5. Individuelt eff. krav'!G9</f>
        <v>0</v>
      </c>
      <c r="F23" s="14" t="s">
        <v>3</v>
      </c>
      <c r="G23" s="1"/>
    </row>
    <row r="24" spans="1:7" x14ac:dyDescent="0.25">
      <c r="A24" s="1"/>
      <c r="B24" s="118" t="s">
        <v>24</v>
      </c>
      <c r="C24" s="119"/>
      <c r="D24" s="120"/>
      <c r="E24" s="9">
        <f>-E22*'Fane 15. Nøgletal'!C31</f>
        <v>-32766.677464220807</v>
      </c>
      <c r="F24" s="14" t="s">
        <v>3</v>
      </c>
      <c r="G24" s="1"/>
    </row>
    <row r="25" spans="1:7" x14ac:dyDescent="0.25">
      <c r="A25" s="1"/>
      <c r="B25" s="124" t="s">
        <v>158</v>
      </c>
      <c r="C25" s="125"/>
      <c r="D25" s="126"/>
      <c r="E25" s="12">
        <f>SUM(E22:E24)*(1+'Fane 15. Nøgletal'!C15)^4</f>
        <v>1846701.293158313</v>
      </c>
      <c r="F25" s="13" t="s">
        <v>3</v>
      </c>
      <c r="G25" s="1"/>
    </row>
    <row r="26" spans="1:7" x14ac:dyDescent="0.25">
      <c r="A26" s="1"/>
      <c r="B26" s="1"/>
      <c r="C26" s="1"/>
      <c r="D26" s="1"/>
      <c r="E26" s="1"/>
      <c r="F26" s="1"/>
      <c r="G26" s="1"/>
    </row>
    <row r="27" spans="1:7" ht="15" customHeight="1" x14ac:dyDescent="0.25">
      <c r="A27" s="1"/>
      <c r="B27" s="124" t="s">
        <v>215</v>
      </c>
      <c r="C27" s="125"/>
      <c r="D27" s="125"/>
      <c r="E27" s="125"/>
      <c r="F27" s="126"/>
      <c r="G27" s="1"/>
    </row>
    <row r="28" spans="1:7" ht="14.25" customHeight="1" x14ac:dyDescent="0.25">
      <c r="A28" s="1"/>
      <c r="B28" s="156" t="s">
        <v>226</v>
      </c>
      <c r="C28" s="157"/>
      <c r="D28" s="158"/>
      <c r="E28" s="9">
        <v>1717589.8099198646</v>
      </c>
      <c r="F28" s="14" t="s">
        <v>3</v>
      </c>
      <c r="G28" s="1"/>
    </row>
    <row r="29" spans="1:7" x14ac:dyDescent="0.25">
      <c r="A29" s="1"/>
      <c r="B29" s="118" t="s">
        <v>10</v>
      </c>
      <c r="C29" s="119"/>
      <c r="D29" s="120"/>
      <c r="E29" s="9">
        <f>-E28*'Fane 5. Individuelt eff. krav'!G9</f>
        <v>0</v>
      </c>
      <c r="F29" s="14" t="s">
        <v>3</v>
      </c>
      <c r="G29" s="1"/>
    </row>
    <row r="30" spans="1:7" x14ac:dyDescent="0.25">
      <c r="A30" s="1"/>
      <c r="B30" s="118" t="s">
        <v>24</v>
      </c>
      <c r="C30" s="119"/>
      <c r="D30" s="120"/>
      <c r="E30" s="9">
        <f>-E28*'Fane 15. Nøgletal'!C31</f>
        <v>-34351.796198397293</v>
      </c>
      <c r="F30" s="14" t="s">
        <v>3</v>
      </c>
      <c r="G30" s="1"/>
    </row>
    <row r="31" spans="1:7" x14ac:dyDescent="0.25">
      <c r="A31" s="1"/>
      <c r="B31" s="124" t="s">
        <v>216</v>
      </c>
      <c r="C31" s="125"/>
      <c r="D31" s="126"/>
      <c r="E31" s="12">
        <f>SUM(E28:E30)*(1+'Fane 15. Nøgletal'!C15)^5</f>
        <v>2004960.1233957971</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yEdW3IlJfQMAPmO6vfAzr0r+NCoHdfdnnRCqL1F1b5vYsMztmKkbDG+9K4sshlQeHcBBlbCZqGFJCEP0/DMjA==" saltValue="2zZfwp0UNnne/a9Yun/ud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261</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132</v>
      </c>
      <c r="C8" s="125"/>
      <c r="D8" s="125"/>
      <c r="E8" s="125"/>
      <c r="F8" s="126"/>
      <c r="G8" s="1"/>
    </row>
    <row r="9" spans="1:7" ht="15" customHeight="1" x14ac:dyDescent="0.25">
      <c r="A9" s="1"/>
      <c r="B9" s="30" t="s">
        <v>133</v>
      </c>
      <c r="C9" s="30" t="s">
        <v>11</v>
      </c>
      <c r="D9" s="31"/>
      <c r="E9" s="30" t="s">
        <v>31</v>
      </c>
      <c r="F9" s="31"/>
      <c r="G9" s="1"/>
    </row>
    <row r="10" spans="1:7" x14ac:dyDescent="0.25">
      <c r="A10" s="1"/>
      <c r="B10" s="23"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8YLHnfEk4yFE1NykTTO4ngWMM3btVRPLAC9c/F0Q78h/gUrPQSTRPxEi5lN55gU0Nui//5hV0SjxTTTz1K4kA==" saltValue="Zbi4xwQQwG+LLwKXd5Wx0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262</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4" t="s">
        <v>93</v>
      </c>
      <c r="C9" s="125"/>
      <c r="D9" s="125"/>
      <c r="E9" s="125"/>
      <c r="F9" s="126"/>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1"/>
      <c r="C15" s="161"/>
      <c r="D15" s="161"/>
      <c r="E15" s="161"/>
      <c r="F15" s="161"/>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1"/>
      <c r="C21" s="161"/>
      <c r="D21" s="161"/>
      <c r="E21" s="161"/>
      <c r="F21" s="161"/>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1"/>
      <c r="C27" s="161"/>
      <c r="D27" s="161"/>
      <c r="E27" s="161"/>
      <c r="F27" s="161"/>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JfS98s+/4Yn0ee7JCICaeqo66he0hqNHBJuldU0FaS+qsI2U1mThbVg0ouLbxmokPO+532IuK0T+pSemOVTsA==" saltValue="3AoBxI0wjOT4KsgMcqHU3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182</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60073577.064013585</v>
      </c>
      <c r="D9" s="8" t="s">
        <v>3</v>
      </c>
      <c r="E9" s="1"/>
    </row>
    <row r="10" spans="1:5" ht="17.25" customHeight="1" x14ac:dyDescent="0.25">
      <c r="A10" s="1"/>
      <c r="B10" s="79" t="s">
        <v>39</v>
      </c>
      <c r="C10" s="7">
        <f>'Fane 11.1. Varige tillæg'!C13</f>
        <v>228131.28840000002</v>
      </c>
      <c r="D10" s="8" t="s">
        <v>3</v>
      </c>
      <c r="E10" s="1"/>
    </row>
    <row r="11" spans="1:5" ht="17.25" customHeight="1" x14ac:dyDescent="0.25">
      <c r="A11" s="1"/>
      <c r="B11" s="79" t="s">
        <v>40</v>
      </c>
      <c r="C11" s="9">
        <f>'Fane 11.1. Varige tillæg'!E13</f>
        <v>0</v>
      </c>
      <c r="D11" s="8" t="s">
        <v>3</v>
      </c>
      <c r="E11" s="1"/>
    </row>
    <row r="12" spans="1:5" ht="17.25" customHeight="1" x14ac:dyDescent="0.25">
      <c r="A12" s="1"/>
      <c r="B12" s="79" t="s">
        <v>27</v>
      </c>
      <c r="C12" s="9">
        <f>-'Fane 14. Bortfald'!C13</f>
        <v>0</v>
      </c>
      <c r="D12" s="8" t="s">
        <v>3</v>
      </c>
      <c r="E12" s="1"/>
    </row>
    <row r="13" spans="1:5" ht="17.25" customHeight="1" x14ac:dyDescent="0.25">
      <c r="A13" s="1"/>
      <c r="B13" s="79" t="s">
        <v>26</v>
      </c>
      <c r="C13" s="9">
        <f>-'Fane 14. Bortfald'!E13</f>
        <v>0</v>
      </c>
      <c r="D13" s="8" t="s">
        <v>3</v>
      </c>
      <c r="E13" s="1"/>
    </row>
    <row r="14" spans="1:5" ht="17.25" customHeight="1" x14ac:dyDescent="0.25">
      <c r="A14" s="1"/>
      <c r="B14" s="79" t="s">
        <v>124</v>
      </c>
      <c r="C14" s="9">
        <f>'Fane 13. Tilknyttet virksomhed'!C12</f>
        <v>0</v>
      </c>
      <c r="D14" s="8" t="s">
        <v>3</v>
      </c>
      <c r="E14" s="1"/>
    </row>
    <row r="15" spans="1:5" ht="17.25" customHeight="1" x14ac:dyDescent="0.25">
      <c r="A15" s="1"/>
      <c r="B15" s="79" t="s">
        <v>125</v>
      </c>
      <c r="C15" s="9">
        <f>'Fane 13. Tilknyttet virksomhed'!E12</f>
        <v>0</v>
      </c>
      <c r="D15" s="8" t="s">
        <v>3</v>
      </c>
      <c r="E15" s="1"/>
    </row>
    <row r="16" spans="1:5" ht="17.25" customHeight="1" x14ac:dyDescent="0.25">
      <c r="A16" s="1"/>
      <c r="B16" s="79" t="s">
        <v>19</v>
      </c>
      <c r="C16" s="44">
        <f>SUM(C9)*'Fane 15. Nøgletal'!C14+SUM(C10:C15)*'Fane 15. Nøgletal'!C15</f>
        <v>206364.27817828485</v>
      </c>
      <c r="D16" s="8" t="s">
        <v>3</v>
      </c>
      <c r="E16" s="1"/>
    </row>
    <row r="17" spans="1:5" ht="17.25" customHeight="1" x14ac:dyDescent="0.25">
      <c r="A17" s="1"/>
      <c r="B17" s="79" t="s">
        <v>10</v>
      </c>
      <c r="C17" s="44">
        <f>-SUM(C9,C10:C16)*'Fane 5. Individuelt eff. krav'!G9</f>
        <v>0</v>
      </c>
      <c r="D17" s="8" t="s">
        <v>3</v>
      </c>
      <c r="E17" s="1"/>
    </row>
    <row r="18" spans="1:5" ht="17.25" customHeight="1" x14ac:dyDescent="0.25">
      <c r="A18" s="1"/>
      <c r="B18" s="79" t="s">
        <v>24</v>
      </c>
      <c r="C18" s="44">
        <f>-'Fane 4.1. Gen. krav - drift'!G45</f>
        <v>-483290.51801268646</v>
      </c>
      <c r="D18" s="8" t="s">
        <v>3</v>
      </c>
      <c r="E18" s="1"/>
    </row>
    <row r="19" spans="1:5" ht="17.25" customHeight="1" x14ac:dyDescent="0.25">
      <c r="A19" s="1"/>
      <c r="B19" s="79" t="s">
        <v>25</v>
      </c>
      <c r="C19" s="44">
        <f>-'Fane 4.2. Gen. krav - anlæg'!G43</f>
        <v>-525030.59705501469</v>
      </c>
      <c r="D19" s="8" t="s">
        <v>3</v>
      </c>
      <c r="E19" s="47"/>
    </row>
    <row r="20" spans="1:5" ht="17.25" customHeight="1" x14ac:dyDescent="0.25">
      <c r="A20" s="1"/>
      <c r="B20" s="85" t="s">
        <v>21</v>
      </c>
      <c r="C20" s="10">
        <f>SUM(C9:C19)</f>
        <v>59499751.515524164</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2848473.30816</v>
      </c>
      <c r="D22" s="11" t="s">
        <v>3</v>
      </c>
      <c r="E22" s="1"/>
    </row>
    <row r="23" spans="1:5" ht="15" customHeight="1" x14ac:dyDescent="0.25">
      <c r="A23" s="1"/>
      <c r="B23" s="32" t="s">
        <v>86</v>
      </c>
      <c r="C23" s="27"/>
      <c r="D23" s="19"/>
      <c r="E23" s="1"/>
    </row>
    <row r="24" spans="1:5" ht="15" customHeight="1" x14ac:dyDescent="0.25">
      <c r="A24" s="1"/>
      <c r="B24" s="85" t="s">
        <v>86</v>
      </c>
      <c r="C24" s="10">
        <f>'Fane 12. Periodevise driftsomk.'!E13</f>
        <v>1761720.0294329622</v>
      </c>
      <c r="D24" s="11" t="s">
        <v>3</v>
      </c>
      <c r="E24" s="1"/>
    </row>
    <row r="25" spans="1:5" ht="15" customHeight="1" x14ac:dyDescent="0.25">
      <c r="A25" s="1"/>
      <c r="B25" s="94" t="s">
        <v>85</v>
      </c>
      <c r="C25" s="45"/>
      <c r="D25" s="46"/>
      <c r="E25" s="1"/>
    </row>
    <row r="26" spans="1:5" ht="15" customHeight="1" x14ac:dyDescent="0.25">
      <c r="A26" s="1"/>
      <c r="B26" s="79" t="s">
        <v>233</v>
      </c>
      <c r="C26" s="71">
        <f>'Fane 11.2. Engangstillæg'!C12</f>
        <v>0</v>
      </c>
      <c r="D26" s="8" t="s">
        <v>3</v>
      </c>
      <c r="E26" s="1"/>
    </row>
    <row r="27" spans="1:5" ht="15" customHeight="1" x14ac:dyDescent="0.25">
      <c r="A27" s="1"/>
      <c r="B27" s="79" t="s">
        <v>82</v>
      </c>
      <c r="C27" s="71">
        <f>'Fane 11.2. Engangstillæg'!E12</f>
        <v>0</v>
      </c>
      <c r="D27" s="8" t="s">
        <v>3</v>
      </c>
      <c r="E27" s="1"/>
    </row>
    <row r="28" spans="1:5" ht="15" customHeight="1" x14ac:dyDescent="0.25">
      <c r="A28" s="1"/>
      <c r="B28" s="79" t="s">
        <v>240</v>
      </c>
      <c r="C28" s="71">
        <f>-C26*('Fane 15. Nøgletal'!C31+'Fane 5. Individuelt eff. krav'!G9)</f>
        <v>0</v>
      </c>
      <c r="D28" s="8" t="s">
        <v>3</v>
      </c>
      <c r="E28" s="1"/>
    </row>
    <row r="29" spans="1:5" ht="15" customHeight="1" x14ac:dyDescent="0.25">
      <c r="A29" s="1"/>
      <c r="B29" s="79" t="s">
        <v>241</v>
      </c>
      <c r="C29" s="71">
        <f>-C27*('Fane 15. Nøgletal'!C26+'Fane 5. Individuelt eff. krav'!G9)</f>
        <v>0</v>
      </c>
      <c r="D29" s="8" t="s">
        <v>3</v>
      </c>
      <c r="E29" s="1"/>
    </row>
    <row r="30" spans="1:5" ht="15" customHeight="1" x14ac:dyDescent="0.25">
      <c r="A30" s="1"/>
      <c r="B30" s="91"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61867.858714692295</v>
      </c>
      <c r="D32" s="11" t="s">
        <v>3</v>
      </c>
      <c r="E32" s="1"/>
    </row>
    <row r="33" spans="1:5" ht="15" customHeight="1" x14ac:dyDescent="0.25">
      <c r="A33" s="1"/>
      <c r="B33" s="32" t="s">
        <v>186</v>
      </c>
      <c r="C33" s="27"/>
      <c r="D33" s="19"/>
      <c r="E33" s="1"/>
    </row>
    <row r="34" spans="1:5" x14ac:dyDescent="0.25">
      <c r="A34" s="1"/>
      <c r="B34" s="30" t="s">
        <v>186</v>
      </c>
      <c r="C34" s="10">
        <f>'Fane 9. Korrektion af ØR2021'!E17</f>
        <v>-1304604.5674489408</v>
      </c>
      <c r="D34" s="11" t="s">
        <v>3</v>
      </c>
      <c r="E34" s="1"/>
    </row>
    <row r="35" spans="1:5" x14ac:dyDescent="0.25">
      <c r="A35" s="1"/>
      <c r="B35" s="29" t="s">
        <v>175</v>
      </c>
      <c r="C35" s="27"/>
      <c r="D35" s="19"/>
      <c r="E35" s="1"/>
    </row>
    <row r="36" spans="1:5" x14ac:dyDescent="0.25">
      <c r="A36" s="1"/>
      <c r="B36" s="91" t="s">
        <v>176</v>
      </c>
      <c r="C36" s="10">
        <f>'Fane 8. Skattesagen'!G12</f>
        <v>0</v>
      </c>
      <c r="D36" s="11" t="s">
        <v>3</v>
      </c>
      <c r="E36" s="1"/>
    </row>
    <row r="37" spans="1:5" x14ac:dyDescent="0.25">
      <c r="A37" s="1"/>
      <c r="B37" s="32" t="s">
        <v>90</v>
      </c>
      <c r="C37" s="53">
        <f>SUM(C34,C32,C24,C30,C22,C20,C36)</f>
        <v>62867208.144382879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IIrNfAj3IDm+DXI7hcMojInMFF/enrG0KwBJB/BzGtfMo04BgfgXBpo/WuzZR7Fi+xrv1twuraGyeS1ckVhzQ==" saltValue="4UVD5O2euq+Z+KGtma8BX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2" t="s">
        <v>263</v>
      </c>
      <c r="C3" s="132"/>
      <c r="D3" s="1"/>
    </row>
    <row r="4" spans="1:4" ht="25.5" customHeight="1" x14ac:dyDescent="0.25">
      <c r="A4" s="1"/>
      <c r="B4" s="132"/>
      <c r="C4" s="13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0" t="s">
        <v>112</v>
      </c>
      <c r="C9" s="24">
        <v>1.2699999999999999E-2</v>
      </c>
      <c r="D9" s="1"/>
    </row>
    <row r="10" spans="1:4" x14ac:dyDescent="0.25">
      <c r="A10" s="1"/>
      <c r="B10" s="90" t="s">
        <v>113</v>
      </c>
      <c r="C10" s="24">
        <v>1.7500000000000002E-2</v>
      </c>
      <c r="D10" s="1"/>
    </row>
    <row r="11" spans="1:4" x14ac:dyDescent="0.25">
      <c r="A11" s="1"/>
      <c r="B11" s="90"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0" t="s">
        <v>171</v>
      </c>
      <c r="C14" s="42">
        <v>3.3E-3</v>
      </c>
      <c r="D14" s="1"/>
    </row>
    <row r="15" spans="1:4" x14ac:dyDescent="0.25">
      <c r="A15" s="1"/>
      <c r="B15" s="33" t="s">
        <v>225</v>
      </c>
      <c r="C15" s="66">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0" t="s">
        <v>114</v>
      </c>
      <c r="C20" s="22">
        <v>9.1000000000000004E-3</v>
      </c>
      <c r="D20" s="1"/>
    </row>
    <row r="21" spans="1:4" x14ac:dyDescent="0.25">
      <c r="A21" s="1"/>
      <c r="B21" s="90" t="s">
        <v>145</v>
      </c>
      <c r="C21" s="22">
        <v>1.77E-2</v>
      </c>
      <c r="D21" s="1"/>
    </row>
    <row r="22" spans="1:4" x14ac:dyDescent="0.25">
      <c r="A22" s="1"/>
      <c r="B22" s="90" t="s">
        <v>146</v>
      </c>
      <c r="C22" s="22">
        <v>8.6999999999999994E-3</v>
      </c>
      <c r="D22" s="1"/>
    </row>
    <row r="23" spans="1:4" x14ac:dyDescent="0.25">
      <c r="A23" s="1"/>
      <c r="B23" s="90" t="s">
        <v>115</v>
      </c>
      <c r="C23" s="35">
        <v>2.8400000000000002E-2</v>
      </c>
      <c r="D23" s="1"/>
    </row>
    <row r="24" spans="1:4" x14ac:dyDescent="0.25">
      <c r="A24" s="1"/>
      <c r="B24" s="90" t="s">
        <v>147</v>
      </c>
      <c r="C24" s="35">
        <v>2.75E-2</v>
      </c>
      <c r="D24" s="1"/>
    </row>
    <row r="25" spans="1:4" x14ac:dyDescent="0.25">
      <c r="A25" s="1"/>
      <c r="B25" s="90" t="s">
        <v>148</v>
      </c>
      <c r="C25" s="35">
        <v>1.4800000000000001E-2</v>
      </c>
      <c r="D25" s="1"/>
    </row>
    <row r="26" spans="1:4" x14ac:dyDescent="0.25">
      <c r="A26" s="1"/>
      <c r="B26" s="33" t="s">
        <v>217</v>
      </c>
      <c r="C26" s="67">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0"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xFELQX1g4IiNqEPVbU2HZCng79dkRlE2EV4/+1DUzDXTr1QsJvQhAeJ8/mcR5FX9xn/D5zQjimxmw+2QWvMA0g==" saltValue="HcjzfSbGUJH2uEhaxifRZ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187</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59499751.515524164</v>
      </c>
      <c r="D9" s="8" t="s">
        <v>3</v>
      </c>
      <c r="E9" s="1"/>
    </row>
    <row r="10" spans="1:5" ht="15" customHeight="1" x14ac:dyDescent="0.25">
      <c r="A10" s="1"/>
      <c r="B10" s="25" t="s">
        <v>19</v>
      </c>
      <c r="C10" s="7">
        <f>SUM(C9:C9)*'Fane 15. Nøgletal'!C15</f>
        <v>2118191.15395266</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-490485.74724485935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61127456.922231965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2949878.9579304964</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driftsomk.'!E19</f>
        <v>1839782.9865183653</v>
      </c>
      <c r="D18" s="11" t="s">
        <v>3</v>
      </c>
      <c r="E18" s="1"/>
    </row>
    <row r="19" spans="1:5"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1" t="s">
        <v>176</v>
      </c>
      <c r="C22" s="10">
        <f>'Fane 8. Skattesagen'!G13</f>
        <v>0</v>
      </c>
      <c r="D22" s="11" t="s">
        <v>3</v>
      </c>
      <c r="E22" s="1"/>
    </row>
    <row r="23" spans="1:5" x14ac:dyDescent="0.25">
      <c r="A23" s="1"/>
      <c r="B23" s="32" t="s">
        <v>128</v>
      </c>
      <c r="C23" s="12">
        <f>SUM(C14,C16,C18,C20,C22)</f>
        <v>65917118.866680831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DrZLBZ5drvSa2DloPXF4aDbg+YcH5JaeLeym2azdJ/W8jgKybJKyy8lb40UIiC8oh1Q/aisWuN3eewrPd4Bc6A==" saltValue="DyLKtN5qBNGrZCqp5DsPX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188</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7"/>
      <c r="C6" s="77"/>
      <c r="D6" s="77"/>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61127456.922231965</v>
      </c>
      <c r="D9" s="8" t="s">
        <v>3</v>
      </c>
      <c r="E9" s="1"/>
    </row>
    <row r="10" spans="1:5" ht="15" customHeight="1" x14ac:dyDescent="0.25">
      <c r="A10" s="1"/>
      <c r="B10" s="25" t="s">
        <v>19</v>
      </c>
      <c r="C10" s="7">
        <f>SUM(C9:C9)*'Fane 15. Nøgletal'!C15</f>
        <v>2176137.466431458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-497788.09904984082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62805806.289613582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3054894.6488328218</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driftsomk.'!E25</f>
        <v>1846701.293158313</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1" t="s">
        <v>176</v>
      </c>
      <c r="C22" s="10">
        <f>'Fane 8. Skattesagen'!G14</f>
        <v>0</v>
      </c>
      <c r="D22" s="11" t="s">
        <v>3</v>
      </c>
      <c r="E22" s="1"/>
    </row>
    <row r="23" spans="1:5" x14ac:dyDescent="0.25">
      <c r="A23" s="1"/>
      <c r="B23" s="32" t="s">
        <v>149</v>
      </c>
      <c r="C23" s="12">
        <f>SUM(C14,C16,C18,C20,C22)</f>
        <v>67707402.23160471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diqdpKIVeUQfAvTXtH+9/Is0h1BvljyHKxgCI/Ftijzexwy2b+iO1z4mrehQ+QHVAtSTNYf0eVDkKu+285Kdw==" saltValue="bUX7kYdzwwWNau0x46Xwx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189</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7"/>
      <c r="C6" s="77"/>
      <c r="D6" s="77"/>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62805806.289613582</v>
      </c>
      <c r="D9" s="8" t="s">
        <v>3</v>
      </c>
      <c r="E9" s="1"/>
    </row>
    <row r="10" spans="1:5" ht="15" customHeight="1" x14ac:dyDescent="0.25">
      <c r="A10" s="1"/>
      <c r="B10" s="25" t="s">
        <v>19</v>
      </c>
      <c r="C10" s="7">
        <f>SUM(C9:C9)*'Fane 15. Nøgletal'!C15</f>
        <v>2235886.7039102437</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-505199.16826849489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64536493.825255334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3163648.8983312706</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driftsomk.'!E31</f>
        <v>2004960.1233957971</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1" t="s">
        <v>176</v>
      </c>
      <c r="C22" s="10">
        <f>'Fane 8. Skattesagen'!G15</f>
        <v>0</v>
      </c>
      <c r="D22" s="11" t="s">
        <v>3</v>
      </c>
      <c r="E22" s="1"/>
    </row>
    <row r="23" spans="1:5" x14ac:dyDescent="0.25">
      <c r="A23" s="1"/>
      <c r="B23" s="32" t="s">
        <v>191</v>
      </c>
      <c r="C23" s="12">
        <f>SUM(C14,C16,C18,C20,C22)</f>
        <v>69705102.846982405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G9FnBZhhDFZfjTgK+b0kBFaLmJejbS6viFxUSJQ1o1Q6lyoEzWcUZcdG0SaofKeUBVWMgGcdE+B/g2lYMg8Ug==" saltValue="nvwF+QrCQecgUa03T86EH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192</v>
      </c>
      <c r="C3" s="132"/>
      <c r="D3" s="132"/>
      <c r="E3" s="132"/>
      <c r="F3" s="132"/>
      <c r="G3" s="1"/>
    </row>
    <row r="4" spans="1:7" ht="29.2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27" t="s">
        <v>193</v>
      </c>
      <c r="C9" s="128"/>
      <c r="D9" s="129"/>
      <c r="E9" s="7">
        <v>60439999.304652736</v>
      </c>
      <c r="F9" s="8" t="s">
        <v>3</v>
      </c>
      <c r="G9" s="1"/>
    </row>
    <row r="10" spans="1:7" ht="15" customHeight="1" x14ac:dyDescent="0.25">
      <c r="A10" s="1"/>
      <c r="B10" s="118" t="s">
        <v>39</v>
      </c>
      <c r="C10" s="119"/>
      <c r="D10" s="120"/>
      <c r="E10" s="7">
        <v>450529.85840000003</v>
      </c>
      <c r="F10" s="8" t="s">
        <v>3</v>
      </c>
      <c r="G10" s="1"/>
    </row>
    <row r="11" spans="1:7" ht="15" customHeight="1" x14ac:dyDescent="0.25">
      <c r="A11" s="1"/>
      <c r="B11" s="118" t="s">
        <v>40</v>
      </c>
      <c r="C11" s="119"/>
      <c r="D11" s="120"/>
      <c r="E11" s="9">
        <v>0</v>
      </c>
      <c r="F11" s="8" t="s">
        <v>3</v>
      </c>
      <c r="G11" s="1"/>
    </row>
    <row r="12" spans="1:7" ht="15" customHeight="1" x14ac:dyDescent="0.25">
      <c r="A12" s="1"/>
      <c r="B12" s="118" t="s">
        <v>27</v>
      </c>
      <c r="C12" s="119"/>
      <c r="D12" s="120"/>
      <c r="E12" s="9">
        <v>0</v>
      </c>
      <c r="F12" s="8" t="s">
        <v>3</v>
      </c>
      <c r="G12" s="1"/>
    </row>
    <row r="13" spans="1:7" ht="15" customHeight="1" x14ac:dyDescent="0.25">
      <c r="A13" s="1"/>
      <c r="B13" s="127" t="s">
        <v>26</v>
      </c>
      <c r="C13" s="128"/>
      <c r="D13" s="129"/>
      <c r="E13" s="9">
        <v>0</v>
      </c>
      <c r="F13" s="8" t="s">
        <v>3</v>
      </c>
      <c r="G13" s="1"/>
    </row>
    <row r="14" spans="1:7" ht="15" customHeight="1" x14ac:dyDescent="0.25">
      <c r="A14" s="1"/>
      <c r="B14" s="127" t="s">
        <v>29</v>
      </c>
      <c r="C14" s="128"/>
      <c r="D14" s="129"/>
      <c r="E14" s="9">
        <v>0</v>
      </c>
      <c r="F14" s="8" t="s">
        <v>3</v>
      </c>
      <c r="G14" s="1"/>
    </row>
    <row r="15" spans="1:7" ht="15" customHeight="1" x14ac:dyDescent="0.25">
      <c r="A15" s="1"/>
      <c r="B15" s="127" t="s">
        <v>28</v>
      </c>
      <c r="C15" s="128"/>
      <c r="D15" s="129"/>
      <c r="E15" s="9">
        <v>0</v>
      </c>
      <c r="F15" s="8" t="s">
        <v>3</v>
      </c>
      <c r="G15" s="1"/>
    </row>
    <row r="16" spans="1:7" ht="15" customHeight="1" x14ac:dyDescent="0.25">
      <c r="A16" s="1"/>
      <c r="B16" s="127" t="s">
        <v>19</v>
      </c>
      <c r="C16" s="128"/>
      <c r="D16" s="129"/>
      <c r="E16" s="9">
        <f>SUM(E9:E15)*'Fane 15. Nøgletal'!C14</f>
        <v>200938.74623807403</v>
      </c>
      <c r="F16" s="8" t="s">
        <v>3</v>
      </c>
      <c r="G16" s="1"/>
    </row>
    <row r="17" spans="1:7" ht="15" customHeight="1" x14ac:dyDescent="0.25">
      <c r="A17" s="1"/>
      <c r="B17" s="127" t="s">
        <v>10</v>
      </c>
      <c r="C17" s="128"/>
      <c r="D17" s="129"/>
      <c r="E17" s="9">
        <v>0</v>
      </c>
      <c r="F17" s="8" t="s">
        <v>3</v>
      </c>
      <c r="G17" s="1"/>
    </row>
    <row r="18" spans="1:7" ht="15" customHeight="1" x14ac:dyDescent="0.25">
      <c r="A18" s="1"/>
      <c r="B18" s="127" t="s">
        <v>24</v>
      </c>
      <c r="C18" s="128"/>
      <c r="D18" s="129"/>
      <c r="E18" s="9">
        <f>-'Fane 4.1. Gen. krav - drift'!G39</f>
        <v>-486725.90936373809</v>
      </c>
      <c r="F18" s="8" t="s">
        <v>3</v>
      </c>
      <c r="G18" s="1"/>
    </row>
    <row r="19" spans="1:7" ht="15" customHeight="1" x14ac:dyDescent="0.25">
      <c r="A19" s="1"/>
      <c r="B19" s="127" t="s">
        <v>25</v>
      </c>
      <c r="C19" s="128"/>
      <c r="D19" s="129"/>
      <c r="E19" s="9">
        <f>-'Fane 4.2. Gen. krav - anlæg'!G37</f>
        <v>-531164.93591348978</v>
      </c>
      <c r="F19" s="8" t="s">
        <v>3</v>
      </c>
      <c r="G19" s="1"/>
    </row>
    <row r="20" spans="1:7" ht="15" customHeight="1" x14ac:dyDescent="0.25">
      <c r="A20" s="1"/>
      <c r="B20" s="52" t="s">
        <v>21</v>
      </c>
      <c r="C20" s="86"/>
      <c r="D20" s="92"/>
      <c r="E20" s="50">
        <f>SUM(E9:E19)</f>
        <v>60073577.064013585</v>
      </c>
      <c r="F20" s="51" t="s">
        <v>3</v>
      </c>
      <c r="G20" s="1"/>
    </row>
    <row r="21" spans="1:7" ht="15" customHeight="1" x14ac:dyDescent="0.25">
      <c r="A21" s="1"/>
      <c r="B21" s="32" t="s">
        <v>12</v>
      </c>
      <c r="C21" s="27"/>
      <c r="D21" s="27"/>
      <c r="E21" s="27"/>
      <c r="F21" s="19"/>
      <c r="G21" s="1"/>
    </row>
    <row r="22" spans="1:7" ht="15" customHeight="1" x14ac:dyDescent="0.25">
      <c r="A22" s="1"/>
      <c r="B22" s="121" t="s">
        <v>12</v>
      </c>
      <c r="C22" s="122"/>
      <c r="D22" s="123"/>
      <c r="E22" s="10">
        <v>4942331.6303169709</v>
      </c>
      <c r="F22" s="11" t="s">
        <v>3</v>
      </c>
      <c r="G22" s="1"/>
    </row>
    <row r="23" spans="1:7" ht="15" customHeight="1" x14ac:dyDescent="0.25">
      <c r="A23" s="1"/>
      <c r="B23" s="124" t="s">
        <v>86</v>
      </c>
      <c r="C23" s="125"/>
      <c r="D23" s="126"/>
      <c r="E23" s="27"/>
      <c r="F23" s="27"/>
      <c r="G23" s="1"/>
    </row>
    <row r="24" spans="1:7" ht="15" customHeight="1" x14ac:dyDescent="0.25">
      <c r="A24" s="1"/>
      <c r="B24" s="85" t="s">
        <v>86</v>
      </c>
      <c r="C24" s="37"/>
      <c r="D24" s="38"/>
      <c r="E24" s="10">
        <v>1590574.4159140261</v>
      </c>
      <c r="F24" s="11" t="s">
        <v>3</v>
      </c>
      <c r="G24" s="1"/>
    </row>
    <row r="25" spans="1:7" x14ac:dyDescent="0.25">
      <c r="A25" s="1"/>
      <c r="B25" s="32" t="s">
        <v>85</v>
      </c>
      <c r="C25" s="27"/>
      <c r="D25" s="27"/>
      <c r="E25" s="27"/>
      <c r="F25" s="19"/>
      <c r="G25" s="1"/>
    </row>
    <row r="26" spans="1:7" ht="15" customHeight="1" x14ac:dyDescent="0.25">
      <c r="A26" s="1"/>
      <c r="B26" s="118" t="s">
        <v>81</v>
      </c>
      <c r="C26" s="119"/>
      <c r="D26" s="120"/>
      <c r="E26" s="9">
        <v>0</v>
      </c>
      <c r="F26" s="8" t="s">
        <v>3</v>
      </c>
      <c r="G26" s="1"/>
    </row>
    <row r="27" spans="1:7" ht="15" customHeight="1" x14ac:dyDescent="0.25">
      <c r="A27" s="1"/>
      <c r="B27" s="118" t="s">
        <v>82</v>
      </c>
      <c r="C27" s="119"/>
      <c r="D27" s="119"/>
      <c r="E27" s="9">
        <v>0</v>
      </c>
      <c r="F27" s="8" t="s">
        <v>3</v>
      </c>
      <c r="G27" s="1"/>
    </row>
    <row r="28" spans="1:7" ht="15" customHeight="1" x14ac:dyDescent="0.25">
      <c r="A28" s="1"/>
      <c r="B28" s="130" t="s">
        <v>87</v>
      </c>
      <c r="C28" s="131"/>
      <c r="D28" s="131"/>
      <c r="E28" s="39">
        <v>0</v>
      </c>
      <c r="F28" s="11" t="s">
        <v>3</v>
      </c>
      <c r="G28" s="1"/>
    </row>
    <row r="29" spans="1:7" ht="15" customHeight="1" x14ac:dyDescent="0.25">
      <c r="A29" s="1"/>
      <c r="B29" s="32" t="s">
        <v>143</v>
      </c>
      <c r="C29" s="32"/>
      <c r="D29" s="32"/>
      <c r="E29" s="27"/>
      <c r="F29" s="27"/>
      <c r="G29" s="1"/>
    </row>
    <row r="30" spans="1:7" ht="15" customHeight="1" x14ac:dyDescent="0.25">
      <c r="A30" s="1"/>
      <c r="B30" s="121" t="s">
        <v>142</v>
      </c>
      <c r="C30" s="122"/>
      <c r="D30" s="122"/>
      <c r="E30" s="39">
        <v>-61867.858714692295</v>
      </c>
      <c r="F30" s="11" t="s">
        <v>3</v>
      </c>
      <c r="G30" s="1"/>
    </row>
    <row r="31" spans="1:7" x14ac:dyDescent="0.25">
      <c r="A31" s="1"/>
      <c r="B31" s="32" t="s">
        <v>123</v>
      </c>
      <c r="C31" s="27"/>
      <c r="D31" s="27"/>
      <c r="E31" s="27"/>
      <c r="F31" s="27"/>
      <c r="G31" s="1"/>
    </row>
    <row r="32" spans="1:7" ht="15.4" customHeight="1" x14ac:dyDescent="0.25">
      <c r="A32" s="1"/>
      <c r="B32" s="121" t="s">
        <v>123</v>
      </c>
      <c r="C32" s="122"/>
      <c r="D32" s="123"/>
      <c r="E32" s="10">
        <v>-37391.83420936577</v>
      </c>
      <c r="F32" s="11" t="s">
        <v>3</v>
      </c>
      <c r="G32" s="1"/>
    </row>
    <row r="33" spans="1:7" ht="15.4" customHeight="1" x14ac:dyDescent="0.25">
      <c r="A33" s="1"/>
      <c r="B33" s="124" t="s">
        <v>175</v>
      </c>
      <c r="C33" s="125"/>
      <c r="D33" s="125"/>
      <c r="E33" s="125"/>
      <c r="F33" s="126"/>
      <c r="G33" s="1"/>
    </row>
    <row r="34" spans="1:7" ht="15.4" customHeight="1" x14ac:dyDescent="0.25">
      <c r="A34" s="1"/>
      <c r="B34" s="91" t="s">
        <v>176</v>
      </c>
      <c r="C34" s="10"/>
      <c r="D34" s="11"/>
      <c r="E34" s="10">
        <f>'Fane 8. Skattesagen'!G11</f>
        <v>0</v>
      </c>
      <c r="F34" s="11" t="s">
        <v>3</v>
      </c>
      <c r="G34" s="1"/>
    </row>
    <row r="35" spans="1:7" x14ac:dyDescent="0.25">
      <c r="A35" s="1"/>
      <c r="B35" s="32" t="s">
        <v>220</v>
      </c>
      <c r="C35" s="27"/>
      <c r="D35" s="19"/>
      <c r="E35" s="12">
        <f>SUM(E32,E30,E28,E24,E22,E20,E34)</f>
        <v>66507223.417320527</v>
      </c>
      <c r="F35" s="13" t="s">
        <v>3</v>
      </c>
      <c r="G35" s="1"/>
    </row>
    <row r="36" spans="1:7" ht="27" customHeight="1" x14ac:dyDescent="0.25">
      <c r="A36" s="1"/>
      <c r="B36" s="127" t="s">
        <v>224</v>
      </c>
      <c r="C36" s="128"/>
      <c r="D36" s="128"/>
      <c r="E36" s="128"/>
      <c r="F36" s="12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0DwmdI6sdBpo7SDtRTT4o72EJjv78DrjnB7+J9O0gLPzvub7yaPcDyQdyDYsCDVWf4TLqLMqMdHkVWRJVudaQA==" saltValue="hiwXImjLqUU/Xh9OMN9Cq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2" t="s">
        <v>109</v>
      </c>
      <c r="C2" s="132"/>
      <c r="D2" s="132"/>
      <c r="E2" s="132"/>
      <c r="F2" s="132"/>
      <c r="G2" s="132"/>
      <c r="H2" s="132"/>
      <c r="I2" s="1"/>
    </row>
    <row r="3" spans="1:9" ht="28.5" customHeight="1" x14ac:dyDescent="0.25">
      <c r="A3" s="1"/>
      <c r="B3" s="132"/>
      <c r="C3" s="132"/>
      <c r="D3" s="132"/>
      <c r="E3" s="132"/>
      <c r="F3" s="132"/>
      <c r="G3" s="132"/>
      <c r="H3" s="132"/>
      <c r="I3" s="1"/>
    </row>
    <row r="4" spans="1:9" x14ac:dyDescent="0.25">
      <c r="A4" s="1"/>
      <c r="B4" s="124" t="s">
        <v>52</v>
      </c>
      <c r="C4" s="125"/>
      <c r="D4" s="125"/>
      <c r="E4" s="125"/>
      <c r="F4" s="125"/>
      <c r="G4" s="125"/>
      <c r="H4" s="126"/>
      <c r="I4" s="1"/>
    </row>
    <row r="5" spans="1:9" x14ac:dyDescent="0.25">
      <c r="A5" s="1"/>
      <c r="B5" s="134" t="s">
        <v>41</v>
      </c>
      <c r="C5" s="135"/>
      <c r="D5" s="135"/>
      <c r="E5" s="135"/>
      <c r="F5" s="136"/>
      <c r="G5" s="72">
        <v>24090389.363550268</v>
      </c>
      <c r="H5" s="14" t="s">
        <v>3</v>
      </c>
      <c r="I5" s="1"/>
    </row>
    <row r="6" spans="1:9" x14ac:dyDescent="0.25">
      <c r="A6" s="1"/>
      <c r="B6" s="127" t="s">
        <v>120</v>
      </c>
      <c r="C6" s="128"/>
      <c r="D6" s="128"/>
      <c r="E6" s="128"/>
      <c r="F6" s="129"/>
      <c r="G6" s="73">
        <v>1180823</v>
      </c>
      <c r="H6" s="14" t="s">
        <v>3</v>
      </c>
      <c r="I6" s="1"/>
    </row>
    <row r="7" spans="1:9" x14ac:dyDescent="0.25">
      <c r="A7" s="1"/>
      <c r="B7" s="134" t="s">
        <v>42</v>
      </c>
      <c r="C7" s="135"/>
      <c r="D7" s="135"/>
      <c r="E7" s="135"/>
      <c r="F7" s="136"/>
      <c r="G7" s="72">
        <f>SUM(G5:G6)*'Fane 15. Nøgletal'!C31</f>
        <v>505424.24727100536</v>
      </c>
      <c r="H7" s="14" t="s">
        <v>3</v>
      </c>
      <c r="I7" s="1"/>
    </row>
    <row r="8" spans="1:9" x14ac:dyDescent="0.25">
      <c r="A8" s="1"/>
      <c r="B8" s="32"/>
      <c r="C8" s="27"/>
      <c r="D8" s="27"/>
      <c r="E8" s="27"/>
      <c r="F8" s="27"/>
      <c r="G8" s="74"/>
      <c r="H8" s="19"/>
      <c r="I8" s="1"/>
    </row>
    <row r="9" spans="1:9" x14ac:dyDescent="0.25">
      <c r="A9" s="1"/>
      <c r="B9" s="1"/>
      <c r="C9" s="1"/>
      <c r="D9" s="1"/>
      <c r="E9" s="1"/>
      <c r="F9" s="1"/>
      <c r="G9" s="75"/>
      <c r="H9" s="1"/>
      <c r="I9" s="1"/>
    </row>
    <row r="10" spans="1:9" x14ac:dyDescent="0.25">
      <c r="A10" s="1"/>
      <c r="B10" s="124" t="s">
        <v>53</v>
      </c>
      <c r="C10" s="125"/>
      <c r="D10" s="125"/>
      <c r="E10" s="125"/>
      <c r="F10" s="125"/>
      <c r="G10" s="133"/>
      <c r="H10" s="126"/>
      <c r="I10" s="1"/>
    </row>
    <row r="11" spans="1:9" x14ac:dyDescent="0.25">
      <c r="A11" s="1"/>
      <c r="B11" s="134" t="s">
        <v>43</v>
      </c>
      <c r="C11" s="135"/>
      <c r="D11" s="135"/>
      <c r="E11" s="135"/>
      <c r="F11" s="136"/>
      <c r="G11" s="72">
        <f>(G5-G7)*(1+'Fane 15. Nøgletal'!C10)</f>
        <v>23997702.00581415</v>
      </c>
      <c r="H11" s="14" t="s">
        <v>3</v>
      </c>
      <c r="I11" s="1"/>
    </row>
    <row r="12" spans="1:9" ht="15" customHeight="1" x14ac:dyDescent="0.25">
      <c r="A12" s="1"/>
      <c r="B12" s="134" t="s">
        <v>121</v>
      </c>
      <c r="C12" s="135"/>
      <c r="D12" s="135"/>
      <c r="E12" s="135"/>
      <c r="F12" s="136"/>
      <c r="G12" s="73">
        <v>539.27251202559103</v>
      </c>
      <c r="H12" s="14" t="s">
        <v>3</v>
      </c>
      <c r="I12" s="1"/>
    </row>
    <row r="13" spans="1:9" x14ac:dyDescent="0.25">
      <c r="A13" s="1"/>
      <c r="B13" s="127" t="s">
        <v>118</v>
      </c>
      <c r="C13" s="128"/>
      <c r="D13" s="128"/>
      <c r="E13" s="128"/>
      <c r="F13" s="129"/>
      <c r="G13" s="73">
        <v>1525017.8075000001</v>
      </c>
      <c r="H13" s="14" t="s">
        <v>3</v>
      </c>
      <c r="I13" s="1"/>
    </row>
    <row r="14" spans="1:9" x14ac:dyDescent="0.25">
      <c r="A14" s="1"/>
      <c r="B14" s="137" t="s">
        <v>44</v>
      </c>
      <c r="C14" s="138"/>
      <c r="D14" s="138"/>
      <c r="E14" s="138"/>
      <c r="F14" s="139"/>
      <c r="G14" s="73">
        <v>23564.605556250001</v>
      </c>
      <c r="H14" s="14" t="s">
        <v>3</v>
      </c>
      <c r="I14" s="1"/>
    </row>
    <row r="15" spans="1:9" x14ac:dyDescent="0.25">
      <c r="A15" s="1"/>
      <c r="B15" s="134" t="s">
        <v>45</v>
      </c>
      <c r="C15" s="135"/>
      <c r="D15" s="135"/>
      <c r="E15" s="135"/>
      <c r="F15" s="136"/>
      <c r="G15" s="72">
        <f>SUM(G11:G14)*'Fane 15. Nøgletal'!C31</f>
        <v>510936.47382764856</v>
      </c>
      <c r="H15" s="14" t="s">
        <v>3</v>
      </c>
      <c r="I15" s="1"/>
    </row>
    <row r="16" spans="1:9" x14ac:dyDescent="0.25">
      <c r="A16" s="1"/>
      <c r="B16" s="32"/>
      <c r="C16" s="27"/>
      <c r="D16" s="27"/>
      <c r="E16" s="27"/>
      <c r="F16" s="27"/>
      <c r="G16" s="74"/>
      <c r="H16" s="19"/>
      <c r="I16" s="1"/>
    </row>
    <row r="17" spans="1:9" x14ac:dyDescent="0.25">
      <c r="A17" s="1"/>
      <c r="B17" s="1"/>
      <c r="C17" s="1"/>
      <c r="D17" s="1"/>
      <c r="E17" s="1"/>
      <c r="F17" s="1"/>
      <c r="G17" s="75"/>
      <c r="H17" s="1"/>
      <c r="I17" s="1"/>
    </row>
    <row r="18" spans="1:9" x14ac:dyDescent="0.25">
      <c r="A18" s="1"/>
      <c r="B18" s="124" t="s">
        <v>54</v>
      </c>
      <c r="C18" s="125"/>
      <c r="D18" s="125"/>
      <c r="E18" s="125"/>
      <c r="F18" s="125"/>
      <c r="G18" s="133"/>
      <c r="H18" s="126"/>
      <c r="I18" s="1"/>
    </row>
    <row r="19" spans="1:9" x14ac:dyDescent="0.25">
      <c r="A19" s="1"/>
      <c r="B19" s="134" t="s">
        <v>46</v>
      </c>
      <c r="C19" s="135"/>
      <c r="D19" s="135"/>
      <c r="E19" s="135"/>
      <c r="F19" s="136"/>
      <c r="G19" s="72">
        <f>(SUM(G11:G12,G14)-(G15))*(1+'Fane 15. Nøgletal'!C10)</f>
        <v>23922309.624730736</v>
      </c>
      <c r="H19" s="14" t="s">
        <v>3</v>
      </c>
      <c r="I19" s="1"/>
    </row>
    <row r="20" spans="1:9" x14ac:dyDescent="0.25">
      <c r="A20" s="1"/>
      <c r="B20" s="137" t="s">
        <v>47</v>
      </c>
      <c r="C20" s="138"/>
      <c r="D20" s="138"/>
      <c r="E20" s="138"/>
      <c r="F20" s="139"/>
      <c r="G20" s="73">
        <v>0</v>
      </c>
      <c r="H20" s="14" t="s">
        <v>3</v>
      </c>
      <c r="I20" s="1"/>
    </row>
    <row r="21" spans="1:9" x14ac:dyDescent="0.25">
      <c r="A21" s="1"/>
      <c r="B21" s="134" t="s">
        <v>48</v>
      </c>
      <c r="C21" s="135"/>
      <c r="D21" s="135"/>
      <c r="E21" s="135"/>
      <c r="F21" s="136"/>
      <c r="G21" s="72">
        <f>SUM(G19:G20)*'Fane 15. Nøgletal'!C31</f>
        <v>478446.19249461475</v>
      </c>
      <c r="H21" s="14" t="s">
        <v>3</v>
      </c>
      <c r="I21" s="1"/>
    </row>
    <row r="22" spans="1:9" x14ac:dyDescent="0.25">
      <c r="A22" s="1"/>
      <c r="B22" s="32"/>
      <c r="C22" s="27"/>
      <c r="D22" s="27"/>
      <c r="E22" s="27"/>
      <c r="F22" s="27"/>
      <c r="G22" s="74"/>
      <c r="H22" s="19"/>
      <c r="I22" s="1"/>
    </row>
    <row r="23" spans="1:9" x14ac:dyDescent="0.25">
      <c r="A23" s="1"/>
      <c r="B23" s="1"/>
      <c r="C23" s="1"/>
      <c r="D23" s="1"/>
      <c r="E23" s="1"/>
      <c r="F23" s="1"/>
      <c r="G23" s="75"/>
      <c r="H23" s="1"/>
      <c r="I23" s="1"/>
    </row>
    <row r="24" spans="1:9" x14ac:dyDescent="0.25">
      <c r="A24" s="1"/>
      <c r="B24" s="124" t="s">
        <v>55</v>
      </c>
      <c r="C24" s="125"/>
      <c r="D24" s="125"/>
      <c r="E24" s="125"/>
      <c r="F24" s="125"/>
      <c r="G24" s="133"/>
      <c r="H24" s="126"/>
      <c r="I24" s="1"/>
    </row>
    <row r="25" spans="1:9" x14ac:dyDescent="0.25">
      <c r="A25" s="1"/>
      <c r="B25" s="134" t="s">
        <v>49</v>
      </c>
      <c r="C25" s="135"/>
      <c r="D25" s="135"/>
      <c r="E25" s="135"/>
      <c r="F25" s="136"/>
      <c r="G25" s="72">
        <f>(G19+G20-G21)*(1+'Fane 15. Nøgletal'!C12)</f>
        <v>23905707.541851174</v>
      </c>
      <c r="H25" s="14" t="s">
        <v>3</v>
      </c>
      <c r="I25" s="1"/>
    </row>
    <row r="26" spans="1:9" x14ac:dyDescent="0.25">
      <c r="A26" s="1"/>
      <c r="B26" s="137" t="s">
        <v>50</v>
      </c>
      <c r="C26" s="138"/>
      <c r="D26" s="138"/>
      <c r="E26" s="138"/>
      <c r="F26" s="139"/>
      <c r="G26" s="73">
        <v>153692.11737098999</v>
      </c>
      <c r="H26" s="14" t="s">
        <v>3</v>
      </c>
      <c r="I26" s="1"/>
    </row>
    <row r="27" spans="1:9" x14ac:dyDescent="0.25">
      <c r="A27" s="1"/>
      <c r="B27" s="134" t="s">
        <v>51</v>
      </c>
      <c r="C27" s="135"/>
      <c r="D27" s="135"/>
      <c r="E27" s="135"/>
      <c r="F27" s="136"/>
      <c r="G27" s="72">
        <f>(G25+G26)*'Fane 15. Nøgletal'!C31</f>
        <v>481187.99318444327</v>
      </c>
      <c r="H27" s="14" t="s">
        <v>3</v>
      </c>
      <c r="I27" s="1"/>
    </row>
    <row r="28" spans="1:9" x14ac:dyDescent="0.25">
      <c r="A28" s="1"/>
      <c r="B28" s="32"/>
      <c r="C28" s="27"/>
      <c r="D28" s="27"/>
      <c r="E28" s="27"/>
      <c r="F28" s="27"/>
      <c r="G28" s="74"/>
      <c r="H28" s="19"/>
      <c r="I28" s="1"/>
    </row>
    <row r="29" spans="1:9" x14ac:dyDescent="0.25">
      <c r="A29" s="1"/>
      <c r="B29" s="1"/>
      <c r="C29" s="1"/>
      <c r="D29" s="1"/>
      <c r="E29" s="1"/>
      <c r="F29" s="1"/>
      <c r="G29" s="75"/>
      <c r="H29" s="1"/>
      <c r="I29" s="1"/>
    </row>
    <row r="30" spans="1:9" x14ac:dyDescent="0.25">
      <c r="A30" s="1"/>
      <c r="B30" s="124" t="s">
        <v>58</v>
      </c>
      <c r="C30" s="125"/>
      <c r="D30" s="125"/>
      <c r="E30" s="125"/>
      <c r="F30" s="125"/>
      <c r="G30" s="133"/>
      <c r="H30" s="126"/>
      <c r="I30" s="1"/>
    </row>
    <row r="31" spans="1:9" x14ac:dyDescent="0.25">
      <c r="A31" s="1"/>
      <c r="B31" s="134" t="s">
        <v>59</v>
      </c>
      <c r="C31" s="135"/>
      <c r="D31" s="135"/>
      <c r="E31" s="135"/>
      <c r="F31" s="136"/>
      <c r="G31" s="72">
        <f>(G25+G26-G27)*(1+'Fane 15. Nøgletal'!C12)</f>
        <v>24042702.435858663</v>
      </c>
      <c r="H31" s="14" t="s">
        <v>3</v>
      </c>
      <c r="I31" s="1"/>
    </row>
    <row r="32" spans="1:9" x14ac:dyDescent="0.25">
      <c r="A32" s="1"/>
      <c r="B32" s="134" t="s">
        <v>137</v>
      </c>
      <c r="C32" s="135"/>
      <c r="D32" s="135"/>
      <c r="E32" s="135"/>
      <c r="F32" s="136"/>
      <c r="G32" s="72">
        <v>248848.56955223999</v>
      </c>
      <c r="H32" s="14" t="s">
        <v>3</v>
      </c>
      <c r="I32" s="1"/>
    </row>
    <row r="33" spans="1:9" x14ac:dyDescent="0.25">
      <c r="A33" s="1"/>
      <c r="B33" s="134" t="s">
        <v>60</v>
      </c>
      <c r="C33" s="135"/>
      <c r="D33" s="135"/>
      <c r="E33" s="135"/>
      <c r="F33" s="136"/>
      <c r="G33" s="72">
        <f>(G31+G32)*'Fane 15. Nøgletal'!C31</f>
        <v>485831.02010821807</v>
      </c>
      <c r="H33" s="14" t="s">
        <v>3</v>
      </c>
      <c r="I33" s="1"/>
    </row>
    <row r="34" spans="1:9" x14ac:dyDescent="0.25">
      <c r="A34" s="1"/>
      <c r="B34" s="32"/>
      <c r="C34" s="27"/>
      <c r="D34" s="27"/>
      <c r="E34" s="27"/>
      <c r="F34" s="27"/>
      <c r="G34" s="74"/>
      <c r="H34" s="19"/>
      <c r="I34" s="1"/>
    </row>
    <row r="35" spans="1:9" x14ac:dyDescent="0.25">
      <c r="A35" s="1"/>
      <c r="B35" s="1"/>
      <c r="C35" s="1"/>
      <c r="D35" s="1"/>
      <c r="E35" s="1"/>
      <c r="F35" s="1"/>
      <c r="G35" s="75"/>
      <c r="H35" s="1"/>
      <c r="I35" s="1"/>
    </row>
    <row r="36" spans="1:9" x14ac:dyDescent="0.25">
      <c r="A36" s="1"/>
      <c r="B36" s="124" t="s">
        <v>160</v>
      </c>
      <c r="C36" s="125"/>
      <c r="D36" s="125"/>
      <c r="E36" s="125"/>
      <c r="F36" s="125"/>
      <c r="G36" s="133"/>
      <c r="H36" s="126"/>
      <c r="I36" s="1"/>
    </row>
    <row r="37" spans="1:9" x14ac:dyDescent="0.25">
      <c r="A37" s="1"/>
      <c r="B37" s="134" t="s">
        <v>79</v>
      </c>
      <c r="C37" s="135"/>
      <c r="D37" s="135"/>
      <c r="E37" s="135"/>
      <c r="F37" s="136"/>
      <c r="G37" s="72">
        <f>(G31+G32-G33)*(1+'Fane 15. Nøgletal'!C14)</f>
        <v>23884278.861254185</v>
      </c>
      <c r="H37" s="14" t="s">
        <v>3</v>
      </c>
      <c r="I37" s="1"/>
    </row>
    <row r="38" spans="1:9" x14ac:dyDescent="0.25">
      <c r="A38" s="1"/>
      <c r="B38" s="134" t="s">
        <v>164</v>
      </c>
      <c r="C38" s="135"/>
      <c r="D38" s="135"/>
      <c r="E38" s="135"/>
      <c r="F38" s="136"/>
      <c r="G38" s="72">
        <v>452016.60693272005</v>
      </c>
      <c r="H38" s="14" t="s">
        <v>3</v>
      </c>
      <c r="I38" s="1"/>
    </row>
    <row r="39" spans="1:9" x14ac:dyDescent="0.25">
      <c r="A39" s="1"/>
      <c r="B39" s="134" t="s">
        <v>162</v>
      </c>
      <c r="C39" s="135"/>
      <c r="D39" s="135"/>
      <c r="E39" s="135"/>
      <c r="F39" s="136"/>
      <c r="G39" s="72">
        <f>(G37+G38)*'Fane 15. Nøgletal'!C31</f>
        <v>486725.90936373809</v>
      </c>
      <c r="H39" s="14" t="s">
        <v>3</v>
      </c>
      <c r="I39" s="1"/>
    </row>
    <row r="40" spans="1:9" x14ac:dyDescent="0.25">
      <c r="A40" s="1"/>
      <c r="B40" s="32"/>
      <c r="C40" s="27"/>
      <c r="D40" s="27"/>
      <c r="E40" s="27"/>
      <c r="F40" s="27"/>
      <c r="G40" s="74"/>
      <c r="H40" s="19"/>
      <c r="I40" s="1"/>
    </row>
    <row r="41" spans="1:9" x14ac:dyDescent="0.25">
      <c r="A41" s="1"/>
      <c r="B41" s="1"/>
      <c r="C41" s="1"/>
      <c r="D41" s="1"/>
      <c r="E41" s="1"/>
      <c r="F41" s="1"/>
      <c r="G41" s="75"/>
      <c r="H41" s="1"/>
      <c r="I41" s="1"/>
    </row>
    <row r="42" spans="1:9" x14ac:dyDescent="0.25">
      <c r="A42" s="1"/>
      <c r="B42" s="124" t="s">
        <v>161</v>
      </c>
      <c r="C42" s="125"/>
      <c r="D42" s="125"/>
      <c r="E42" s="125"/>
      <c r="F42" s="125"/>
      <c r="G42" s="133"/>
      <c r="H42" s="126"/>
      <c r="I42" s="1"/>
    </row>
    <row r="43" spans="1:9" x14ac:dyDescent="0.25">
      <c r="A43" s="1"/>
      <c r="B43" s="134" t="s">
        <v>230</v>
      </c>
      <c r="C43" s="135"/>
      <c r="D43" s="135"/>
      <c r="E43" s="135"/>
      <c r="F43" s="136"/>
      <c r="G43" s="72">
        <f>(G37+G38-G39)*(1+'Fane 15. Nøgletal'!C14)</f>
        <v>23928273.138367284</v>
      </c>
      <c r="H43" s="14" t="s">
        <v>3</v>
      </c>
      <c r="I43" s="1"/>
    </row>
    <row r="44" spans="1:9" x14ac:dyDescent="0.25">
      <c r="A44" s="1"/>
      <c r="B44" s="140" t="s">
        <v>232</v>
      </c>
      <c r="C44" s="141"/>
      <c r="D44" s="141"/>
      <c r="E44" s="141"/>
      <c r="F44" s="142"/>
      <c r="G44" s="76">
        <f>('Fane 2.1. Økonomisk ramme 2023'!C10+'Fane 2.1. Økonomisk ramme 2023'!C12+'Fane 2.1. Økonomisk ramme 2023'!C14)*(1+'Fane 15. Nøgletal'!C15)</f>
        <v>236252.76226704003</v>
      </c>
      <c r="H44" s="14" t="s">
        <v>3</v>
      </c>
      <c r="I44" s="1"/>
    </row>
    <row r="45" spans="1:9" x14ac:dyDescent="0.25">
      <c r="A45" s="1"/>
      <c r="B45" s="134" t="s">
        <v>163</v>
      </c>
      <c r="C45" s="135"/>
      <c r="D45" s="135"/>
      <c r="E45" s="135"/>
      <c r="F45" s="136"/>
      <c r="G45" s="72">
        <f>SUM(G43:G44)*'Fane 15. Nøgletal'!C31</f>
        <v>483290.51801268646</v>
      </c>
      <c r="H45" s="14" t="s">
        <v>3</v>
      </c>
      <c r="I45" s="1"/>
    </row>
    <row r="46" spans="1:9" x14ac:dyDescent="0.25">
      <c r="A46" s="1"/>
      <c r="B46" s="32"/>
      <c r="C46" s="27"/>
      <c r="D46" s="27"/>
      <c r="E46" s="27"/>
      <c r="F46" s="27"/>
      <c r="G46" s="74"/>
      <c r="H46" s="19"/>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24" t="s">
        <v>243</v>
      </c>
      <c r="C51" s="125"/>
      <c r="D51" s="125"/>
      <c r="E51" s="125"/>
      <c r="F51" s="125"/>
      <c r="G51" s="133"/>
      <c r="H51" s="126"/>
      <c r="I51" s="1"/>
    </row>
    <row r="52" spans="1:9" x14ac:dyDescent="0.25">
      <c r="A52" s="1"/>
      <c r="B52" s="134" t="s">
        <v>229</v>
      </c>
      <c r="C52" s="135"/>
      <c r="D52" s="135"/>
      <c r="E52" s="135"/>
      <c r="F52" s="136"/>
      <c r="G52" s="72">
        <f>(G43+G44-G45)*(1+'Fane 15. Nøgletal'!C15)</f>
        <v>24524287.362242967</v>
      </c>
      <c r="H52" s="14" t="s">
        <v>3</v>
      </c>
      <c r="I52" s="1"/>
    </row>
    <row r="53" spans="1:9" x14ac:dyDescent="0.25">
      <c r="A53" s="1"/>
      <c r="B53" s="134" t="s">
        <v>138</v>
      </c>
      <c r="C53" s="135"/>
      <c r="D53" s="135"/>
      <c r="E53" s="135"/>
      <c r="F53" s="136"/>
      <c r="G53" s="72">
        <f>(G52)*'Fane 15. Nøgletal'!C31</f>
        <v>490485.74724485935</v>
      </c>
      <c r="H53" s="14" t="s">
        <v>3</v>
      </c>
      <c r="I53" s="1"/>
    </row>
    <row r="54" spans="1:9" x14ac:dyDescent="0.25">
      <c r="A54" s="1"/>
      <c r="B54" s="32"/>
      <c r="C54" s="27"/>
      <c r="D54" s="27"/>
      <c r="E54" s="27"/>
      <c r="F54" s="27"/>
      <c r="G54" s="74"/>
      <c r="H54" s="19"/>
      <c r="I54" s="1"/>
    </row>
    <row r="55" spans="1:9" x14ac:dyDescent="0.25">
      <c r="A55" s="1"/>
      <c r="B55" s="1"/>
      <c r="C55" s="1"/>
      <c r="D55" s="1"/>
      <c r="E55" s="1"/>
      <c r="F55" s="1"/>
      <c r="G55" s="75"/>
      <c r="H55" s="1"/>
      <c r="I55" s="1"/>
    </row>
    <row r="56" spans="1:9" x14ac:dyDescent="0.25">
      <c r="A56" s="1"/>
      <c r="B56" s="124" t="s">
        <v>150</v>
      </c>
      <c r="C56" s="125"/>
      <c r="D56" s="125"/>
      <c r="E56" s="125"/>
      <c r="F56" s="125"/>
      <c r="G56" s="133"/>
      <c r="H56" s="126"/>
      <c r="I56" s="1"/>
    </row>
    <row r="57" spans="1:9" x14ac:dyDescent="0.25">
      <c r="A57" s="1"/>
      <c r="B57" s="87" t="s">
        <v>151</v>
      </c>
      <c r="C57" s="88"/>
      <c r="D57" s="88"/>
      <c r="E57" s="88"/>
      <c r="F57" s="89"/>
      <c r="G57" s="72">
        <f>(G52-G53)*(1+'Fane 15. Nøgletal'!C15)</f>
        <v>24889404.95249204</v>
      </c>
      <c r="H57" s="14" t="s">
        <v>3</v>
      </c>
      <c r="I57" s="1"/>
    </row>
    <row r="58" spans="1:9" x14ac:dyDescent="0.25">
      <c r="A58" s="1"/>
      <c r="B58" s="87" t="s">
        <v>152</v>
      </c>
      <c r="C58" s="88"/>
      <c r="D58" s="88"/>
      <c r="E58" s="88"/>
      <c r="F58" s="89"/>
      <c r="G58" s="72">
        <f>(G57)*'Fane 15. Nøgletal'!C31</f>
        <v>497788.09904984082</v>
      </c>
      <c r="H58" s="14" t="s">
        <v>3</v>
      </c>
      <c r="I58" s="1"/>
    </row>
    <row r="59" spans="1:9" x14ac:dyDescent="0.25">
      <c r="A59" s="1"/>
      <c r="B59" s="32"/>
      <c r="C59" s="27"/>
      <c r="D59" s="27"/>
      <c r="E59" s="27"/>
      <c r="F59" s="27"/>
      <c r="G59" s="74"/>
      <c r="H59" s="19"/>
      <c r="I59" s="1"/>
    </row>
    <row r="60" spans="1:9" x14ac:dyDescent="0.25">
      <c r="A60" s="1"/>
      <c r="B60" s="1"/>
      <c r="C60" s="1"/>
      <c r="D60" s="1"/>
      <c r="E60" s="1"/>
      <c r="F60" s="1"/>
      <c r="G60" s="75"/>
      <c r="H60" s="1"/>
      <c r="I60" s="1"/>
    </row>
    <row r="61" spans="1:9" x14ac:dyDescent="0.25">
      <c r="A61" s="1"/>
      <c r="B61" s="124" t="s">
        <v>194</v>
      </c>
      <c r="C61" s="125"/>
      <c r="D61" s="125"/>
      <c r="E61" s="125"/>
      <c r="F61" s="125"/>
      <c r="G61" s="133"/>
      <c r="H61" s="126"/>
      <c r="I61" s="1"/>
    </row>
    <row r="62" spans="1:9" x14ac:dyDescent="0.25">
      <c r="A62" s="1"/>
      <c r="B62" s="87" t="s">
        <v>195</v>
      </c>
      <c r="C62" s="88"/>
      <c r="D62" s="88"/>
      <c r="E62" s="88"/>
      <c r="F62" s="89"/>
      <c r="G62" s="72">
        <f>(G57-G58)*(1+'Fane 15. Nøgletal'!C15)</f>
        <v>25259958.413424745</v>
      </c>
      <c r="H62" s="14" t="s">
        <v>3</v>
      </c>
      <c r="I62" s="1"/>
    </row>
    <row r="63" spans="1:9" x14ac:dyDescent="0.25">
      <c r="A63" s="1"/>
      <c r="B63" s="87" t="s">
        <v>196</v>
      </c>
      <c r="C63" s="88"/>
      <c r="D63" s="88"/>
      <c r="E63" s="88"/>
      <c r="F63" s="89"/>
      <c r="G63" s="72">
        <f>(G62)*'Fane 15. Nøgletal'!C31</f>
        <v>505199.16826849489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4ySHSJ22tGXyWXJbGQk0Eb1hzdBB1J6aW4XsAyRLS0NHSjCo53QFeVL7jvNXit4X+JxrkOngY0jBi1qcTextoA==" saltValue="J9vEiXH8nku61Sip8M7xT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4" t="s">
        <v>56</v>
      </c>
      <c r="C4" s="125"/>
      <c r="D4" s="125"/>
      <c r="E4" s="125"/>
      <c r="F4" s="125"/>
      <c r="G4" s="125"/>
      <c r="H4" s="126"/>
      <c r="I4" s="1"/>
    </row>
    <row r="5" spans="1:9" x14ac:dyDescent="0.25">
      <c r="A5" s="1"/>
      <c r="B5" s="134" t="s">
        <v>61</v>
      </c>
      <c r="C5" s="135"/>
      <c r="D5" s="135"/>
      <c r="E5" s="135"/>
      <c r="F5" s="136"/>
      <c r="G5" s="72">
        <v>36268191.61457736</v>
      </c>
      <c r="H5" s="14" t="s">
        <v>3</v>
      </c>
      <c r="I5" s="1"/>
    </row>
    <row r="6" spans="1:9" x14ac:dyDescent="0.25">
      <c r="A6" s="1"/>
      <c r="B6" s="134" t="s">
        <v>57</v>
      </c>
      <c r="C6" s="135"/>
      <c r="D6" s="135"/>
      <c r="E6" s="135"/>
      <c r="F6" s="136"/>
      <c r="G6" s="72">
        <f>G5*'Fane 15. Nøgletal'!C20</f>
        <v>330040.543692654</v>
      </c>
      <c r="H6" s="14" t="s">
        <v>3</v>
      </c>
      <c r="I6" s="1"/>
    </row>
    <row r="7" spans="1:9" x14ac:dyDescent="0.25">
      <c r="A7" s="1"/>
      <c r="B7" s="32"/>
      <c r="C7" s="27"/>
      <c r="D7" s="27"/>
      <c r="E7" s="27"/>
      <c r="F7" s="27"/>
      <c r="G7" s="74"/>
      <c r="H7" s="19"/>
      <c r="I7" s="1"/>
    </row>
    <row r="8" spans="1:9" x14ac:dyDescent="0.25">
      <c r="A8" s="1"/>
      <c r="B8" s="1"/>
      <c r="C8" s="1"/>
      <c r="D8" s="1"/>
      <c r="E8" s="1"/>
      <c r="F8" s="1"/>
      <c r="G8" s="75"/>
      <c r="H8" s="1"/>
      <c r="I8" s="1"/>
    </row>
    <row r="9" spans="1:9" x14ac:dyDescent="0.25">
      <c r="A9" s="1"/>
      <c r="B9" s="124" t="s">
        <v>62</v>
      </c>
      <c r="C9" s="125"/>
      <c r="D9" s="125"/>
      <c r="E9" s="125"/>
      <c r="F9" s="125"/>
      <c r="G9" s="133"/>
      <c r="H9" s="126"/>
      <c r="I9" s="1"/>
    </row>
    <row r="10" spans="1:9" x14ac:dyDescent="0.25">
      <c r="A10" s="1"/>
      <c r="B10" s="134" t="s">
        <v>63</v>
      </c>
      <c r="C10" s="135"/>
      <c r="D10" s="135"/>
      <c r="E10" s="135"/>
      <c r="F10" s="136"/>
      <c r="G10" s="72">
        <f>(G5-G6)*(1+'Fane 15. Nøgletal'!C10)</f>
        <v>36567068.714625187</v>
      </c>
      <c r="H10" s="14" t="s">
        <v>3</v>
      </c>
      <c r="I10" s="1"/>
    </row>
    <row r="11" spans="1:9" x14ac:dyDescent="0.25">
      <c r="A11" s="1"/>
      <c r="B11" s="134" t="s">
        <v>122</v>
      </c>
      <c r="C11" s="135"/>
      <c r="D11" s="135"/>
      <c r="E11" s="135"/>
      <c r="F11" s="136"/>
      <c r="G11" s="72">
        <v>308921.30720866914</v>
      </c>
      <c r="H11" s="14" t="s">
        <v>3</v>
      </c>
      <c r="I11" s="1"/>
    </row>
    <row r="12" spans="1:9" x14ac:dyDescent="0.25">
      <c r="A12" s="1"/>
      <c r="B12" s="137" t="s">
        <v>64</v>
      </c>
      <c r="C12" s="138"/>
      <c r="D12" s="138"/>
      <c r="E12" s="138"/>
      <c r="F12" s="139"/>
      <c r="G12" s="73">
        <v>0</v>
      </c>
      <c r="H12" s="14" t="s">
        <v>3</v>
      </c>
      <c r="I12" s="1"/>
    </row>
    <row r="13" spans="1:9" x14ac:dyDescent="0.25">
      <c r="A13" s="1"/>
      <c r="B13" s="134" t="s">
        <v>65</v>
      </c>
      <c r="C13" s="135"/>
      <c r="D13" s="135"/>
      <c r="E13" s="135"/>
      <c r="F13" s="136"/>
      <c r="G13" s="72">
        <f>SUM(G10:G12)*'Fane 15. Nøgletal'!C21</f>
        <v>652705.02338645933</v>
      </c>
      <c r="H13" s="14" t="s">
        <v>3</v>
      </c>
      <c r="I13" s="1"/>
    </row>
    <row r="14" spans="1:9" x14ac:dyDescent="0.25">
      <c r="A14" s="1"/>
      <c r="B14" s="32"/>
      <c r="C14" s="27"/>
      <c r="D14" s="27"/>
      <c r="E14" s="27"/>
      <c r="F14" s="27"/>
      <c r="G14" s="74"/>
      <c r="H14" s="19"/>
      <c r="I14" s="1"/>
    </row>
    <row r="15" spans="1:9" x14ac:dyDescent="0.25">
      <c r="A15" s="1"/>
      <c r="B15" s="1"/>
      <c r="C15" s="1"/>
      <c r="D15" s="1"/>
      <c r="E15" s="1"/>
      <c r="F15" s="1"/>
      <c r="G15" s="75"/>
      <c r="H15" s="1"/>
      <c r="I15" s="1"/>
    </row>
    <row r="16" spans="1:9" x14ac:dyDescent="0.25">
      <c r="A16" s="1"/>
      <c r="B16" s="124" t="s">
        <v>66</v>
      </c>
      <c r="C16" s="125"/>
      <c r="D16" s="125"/>
      <c r="E16" s="125"/>
      <c r="F16" s="125"/>
      <c r="G16" s="133"/>
      <c r="H16" s="126"/>
      <c r="I16" s="1"/>
    </row>
    <row r="17" spans="1:9" x14ac:dyDescent="0.25">
      <c r="A17" s="1"/>
      <c r="B17" s="134" t="s">
        <v>67</v>
      </c>
      <c r="C17" s="135"/>
      <c r="D17" s="135"/>
      <c r="E17" s="135"/>
      <c r="F17" s="136"/>
      <c r="G17" s="72">
        <f>(SUM(G10:G12)-G13)*(1+'Fane 15. Nøgletal'!C10)</f>
        <v>36857192.485920236</v>
      </c>
      <c r="H17" s="14" t="s">
        <v>3</v>
      </c>
      <c r="I17" s="1"/>
    </row>
    <row r="18" spans="1:9" x14ac:dyDescent="0.25">
      <c r="A18" s="1"/>
      <c r="B18" s="137" t="s">
        <v>68</v>
      </c>
      <c r="C18" s="138"/>
      <c r="D18" s="138"/>
      <c r="E18" s="138"/>
      <c r="F18" s="139"/>
      <c r="G18" s="72">
        <v>56739.243335089988</v>
      </c>
      <c r="H18" s="14" t="s">
        <v>3</v>
      </c>
      <c r="I18" s="1"/>
    </row>
    <row r="19" spans="1:9" x14ac:dyDescent="0.25">
      <c r="A19" s="1"/>
      <c r="B19" s="134" t="s">
        <v>69</v>
      </c>
      <c r="C19" s="135"/>
      <c r="D19" s="135"/>
      <c r="E19" s="135"/>
      <c r="F19" s="136"/>
      <c r="G19" s="72">
        <f>G17*'Fane 15. Nøgletal'!C21+G18*'Fane 15. Nøgletal'!C22</f>
        <v>652865.9384178035</v>
      </c>
      <c r="H19" s="14" t="s">
        <v>3</v>
      </c>
      <c r="I19" s="1"/>
    </row>
    <row r="20" spans="1:9" x14ac:dyDescent="0.25">
      <c r="A20" s="1"/>
      <c r="B20" s="32"/>
      <c r="C20" s="27"/>
      <c r="D20" s="27"/>
      <c r="E20" s="27"/>
      <c r="F20" s="27"/>
      <c r="G20" s="74"/>
      <c r="H20" s="19"/>
      <c r="I20" s="1"/>
    </row>
    <row r="21" spans="1:9" x14ac:dyDescent="0.25">
      <c r="A21" s="1"/>
      <c r="B21" s="1"/>
      <c r="C21" s="1"/>
      <c r="D21" s="1"/>
      <c r="E21" s="1"/>
      <c r="F21" s="1"/>
      <c r="G21" s="75"/>
      <c r="H21" s="1"/>
      <c r="I21" s="1"/>
    </row>
    <row r="22" spans="1:9" x14ac:dyDescent="0.25">
      <c r="A22" s="1"/>
      <c r="B22" s="124" t="s">
        <v>70</v>
      </c>
      <c r="C22" s="125"/>
      <c r="D22" s="125"/>
      <c r="E22" s="125"/>
      <c r="F22" s="125"/>
      <c r="G22" s="133"/>
      <c r="H22" s="126"/>
      <c r="I22" s="1"/>
    </row>
    <row r="23" spans="1:9" x14ac:dyDescent="0.25">
      <c r="A23" s="1"/>
      <c r="B23" s="134" t="s">
        <v>71</v>
      </c>
      <c r="C23" s="135"/>
      <c r="D23" s="135"/>
      <c r="E23" s="135"/>
      <c r="F23" s="136"/>
      <c r="G23" s="72">
        <f>(G17+G18-G19)*(1+'Fane 15. Nøgletal'!C12)</f>
        <v>36975408.786917031</v>
      </c>
      <c r="H23" s="14" t="s">
        <v>3</v>
      </c>
      <c r="I23" s="1"/>
    </row>
    <row r="24" spans="1:9" x14ac:dyDescent="0.25">
      <c r="A24" s="1"/>
      <c r="B24" s="137" t="s">
        <v>72</v>
      </c>
      <c r="C24" s="138"/>
      <c r="D24" s="138"/>
      <c r="E24" s="138"/>
      <c r="F24" s="139"/>
      <c r="G24" s="72">
        <v>166990.96531192798</v>
      </c>
      <c r="H24" s="14" t="s">
        <v>3</v>
      </c>
      <c r="I24" s="1"/>
    </row>
    <row r="25" spans="1:9" x14ac:dyDescent="0.25">
      <c r="A25" s="1"/>
      <c r="B25" s="134" t="s">
        <v>73</v>
      </c>
      <c r="C25" s="135"/>
      <c r="D25" s="135"/>
      <c r="E25" s="135"/>
      <c r="F25" s="136"/>
      <c r="G25" s="72">
        <f>(G23+G24)*'Fane 15. Nøgletal'!C23</f>
        <v>1054844.1529633026</v>
      </c>
      <c r="H25" s="14" t="s">
        <v>3</v>
      </c>
      <c r="I25" s="1"/>
    </row>
    <row r="26" spans="1:9" x14ac:dyDescent="0.25">
      <c r="A26" s="1"/>
      <c r="B26" s="32"/>
      <c r="C26" s="27"/>
      <c r="D26" s="27"/>
      <c r="E26" s="27"/>
      <c r="F26" s="27"/>
      <c r="G26" s="74"/>
      <c r="H26" s="19"/>
      <c r="I26" s="1"/>
    </row>
    <row r="27" spans="1:9" x14ac:dyDescent="0.25">
      <c r="A27" s="1"/>
      <c r="B27" s="1"/>
      <c r="C27" s="1"/>
      <c r="D27" s="1"/>
      <c r="E27" s="1"/>
      <c r="F27" s="1"/>
      <c r="G27" s="75"/>
      <c r="H27" s="1"/>
      <c r="I27" s="1"/>
    </row>
    <row r="28" spans="1:9" x14ac:dyDescent="0.25">
      <c r="A28" s="1"/>
      <c r="B28" s="124" t="s">
        <v>74</v>
      </c>
      <c r="C28" s="125"/>
      <c r="D28" s="125"/>
      <c r="E28" s="125"/>
      <c r="F28" s="125"/>
      <c r="G28" s="133"/>
      <c r="H28" s="126"/>
      <c r="I28" s="1"/>
    </row>
    <row r="29" spans="1:9" x14ac:dyDescent="0.25">
      <c r="A29" s="1"/>
      <c r="B29" s="134" t="s">
        <v>75</v>
      </c>
      <c r="C29" s="135"/>
      <c r="D29" s="135"/>
      <c r="E29" s="135"/>
      <c r="F29" s="136"/>
      <c r="G29" s="72">
        <f>(G23+G24-G25)*(1+'Fane 15. Nøgletal'!C12)</f>
        <v>36798480.44457119</v>
      </c>
      <c r="H29" s="14" t="s">
        <v>3</v>
      </c>
      <c r="I29" s="1"/>
    </row>
    <row r="30" spans="1:9" x14ac:dyDescent="0.25">
      <c r="A30" s="1"/>
      <c r="B30" s="134" t="s">
        <v>139</v>
      </c>
      <c r="C30" s="135"/>
      <c r="D30" s="135"/>
      <c r="E30" s="135"/>
      <c r="F30" s="136"/>
      <c r="G30" s="72">
        <v>18584.29140876</v>
      </c>
      <c r="H30" s="14" t="s">
        <v>3</v>
      </c>
      <c r="I30" s="1"/>
    </row>
    <row r="31" spans="1:9" x14ac:dyDescent="0.25">
      <c r="A31" s="1"/>
      <c r="B31" s="134" t="s">
        <v>76</v>
      </c>
      <c r="C31" s="135"/>
      <c r="D31" s="135"/>
      <c r="E31" s="135"/>
      <c r="F31" s="136"/>
      <c r="G31" s="72">
        <f>G29*'Fane 15. Nøgletal'!C23+G30*'Fane 15. Nøgletal'!C24</f>
        <v>1045587.9126395627</v>
      </c>
      <c r="H31" s="14" t="s">
        <v>3</v>
      </c>
      <c r="I31" s="1"/>
    </row>
    <row r="32" spans="1:9" x14ac:dyDescent="0.25">
      <c r="A32" s="1"/>
      <c r="B32" s="32"/>
      <c r="C32" s="27"/>
      <c r="D32" s="27"/>
      <c r="E32" s="27"/>
      <c r="F32" s="27"/>
      <c r="G32" s="74"/>
      <c r="H32" s="19"/>
      <c r="I32" s="1"/>
    </row>
    <row r="33" spans="1:9" x14ac:dyDescent="0.25">
      <c r="A33" s="1"/>
      <c r="B33" s="1"/>
      <c r="C33" s="1"/>
      <c r="D33" s="1"/>
      <c r="E33" s="1"/>
      <c r="F33" s="1"/>
      <c r="G33" s="75"/>
      <c r="H33" s="1"/>
      <c r="I33" s="1"/>
    </row>
    <row r="34" spans="1:9" x14ac:dyDescent="0.25">
      <c r="A34" s="1"/>
      <c r="B34" s="124" t="s">
        <v>165</v>
      </c>
      <c r="C34" s="125"/>
      <c r="D34" s="125"/>
      <c r="E34" s="125"/>
      <c r="F34" s="125"/>
      <c r="G34" s="133"/>
      <c r="H34" s="126"/>
      <c r="I34" s="1"/>
    </row>
    <row r="35" spans="1:9" x14ac:dyDescent="0.25">
      <c r="A35" s="1"/>
      <c r="B35" s="134" t="s">
        <v>78</v>
      </c>
      <c r="C35" s="135"/>
      <c r="D35" s="135"/>
      <c r="E35" s="135"/>
      <c r="F35" s="136"/>
      <c r="G35" s="72">
        <f>(G29+G30-G31)*(1+'Fane 15. Nøgletal'!C14)</f>
        <v>35889522.696857415</v>
      </c>
      <c r="H35" s="14" t="s">
        <v>3</v>
      </c>
      <c r="I35" s="1"/>
    </row>
    <row r="36" spans="1:9" x14ac:dyDescent="0.25">
      <c r="A36" s="1"/>
      <c r="B36" s="134" t="s">
        <v>167</v>
      </c>
      <c r="C36" s="135"/>
      <c r="D36" s="135"/>
      <c r="E36" s="135"/>
      <c r="F36" s="136"/>
      <c r="G36" s="72">
        <v>0</v>
      </c>
      <c r="H36" s="14" t="s">
        <v>3</v>
      </c>
      <c r="I36" s="1"/>
    </row>
    <row r="37" spans="1:9" x14ac:dyDescent="0.25">
      <c r="A37" s="1"/>
      <c r="B37" s="134" t="s">
        <v>166</v>
      </c>
      <c r="C37" s="135"/>
      <c r="D37" s="135"/>
      <c r="E37" s="135"/>
      <c r="F37" s="136"/>
      <c r="G37" s="72">
        <f>(G35+G36)*'Fane 15. Nøgletal'!C25</f>
        <v>531164.93591348978</v>
      </c>
      <c r="H37" s="14" t="s">
        <v>3</v>
      </c>
      <c r="I37" s="1"/>
    </row>
    <row r="38" spans="1:9" x14ac:dyDescent="0.25">
      <c r="A38" s="1"/>
      <c r="B38" s="32"/>
      <c r="C38" s="27"/>
      <c r="D38" s="27"/>
      <c r="E38" s="27"/>
      <c r="F38" s="27"/>
      <c r="G38" s="74"/>
      <c r="H38" s="19"/>
      <c r="I38" s="1"/>
    </row>
    <row r="39" spans="1:9" x14ac:dyDescent="0.25">
      <c r="A39" s="1"/>
      <c r="B39" s="1"/>
      <c r="C39" s="1"/>
      <c r="D39" s="1"/>
      <c r="E39" s="1"/>
      <c r="F39" s="1"/>
      <c r="G39" s="75"/>
      <c r="H39" s="1"/>
      <c r="I39" s="1"/>
    </row>
    <row r="40" spans="1:9" x14ac:dyDescent="0.25">
      <c r="A40" s="1"/>
      <c r="B40" s="124" t="s">
        <v>223</v>
      </c>
      <c r="C40" s="125"/>
      <c r="D40" s="125"/>
      <c r="E40" s="125"/>
      <c r="F40" s="125"/>
      <c r="G40" s="133"/>
      <c r="H40" s="126"/>
      <c r="I40" s="1"/>
    </row>
    <row r="41" spans="1:9" x14ac:dyDescent="0.25">
      <c r="A41" s="1"/>
      <c r="B41" s="134" t="s">
        <v>77</v>
      </c>
      <c r="C41" s="135"/>
      <c r="D41" s="135"/>
      <c r="E41" s="135"/>
      <c r="F41" s="136"/>
      <c r="G41" s="72">
        <f>(G35+G36-G37)*(1+'Fane 15. Nøgletal'!C14)</f>
        <v>35475040.341555044</v>
      </c>
      <c r="H41" s="14" t="s">
        <v>3</v>
      </c>
      <c r="I41" s="1"/>
    </row>
    <row r="42" spans="1:9" x14ac:dyDescent="0.25">
      <c r="A42" s="1"/>
      <c r="B42" s="43" t="s">
        <v>231</v>
      </c>
      <c r="C42" s="88"/>
      <c r="D42" s="88"/>
      <c r="E42" s="88"/>
      <c r="F42" s="89"/>
      <c r="G42" s="76">
        <f>('Fane 2.1. Økonomisk ramme 2023'!C11+'Fane 2.1. Økonomisk ramme 2023'!C13+'Fane 2.1. Økonomisk ramme 2023'!C15)*(1+'Fane 15. Nøgletal'!C15)</f>
        <v>0</v>
      </c>
      <c r="H42" s="14" t="s">
        <v>3</v>
      </c>
      <c r="I42" s="1"/>
    </row>
    <row r="43" spans="1:9" x14ac:dyDescent="0.25">
      <c r="A43" s="1"/>
      <c r="B43" s="134" t="s">
        <v>168</v>
      </c>
      <c r="C43" s="135"/>
      <c r="D43" s="135"/>
      <c r="E43" s="135"/>
      <c r="F43" s="136"/>
      <c r="G43" s="72">
        <f>(G41)*'Fane 15. Nøgletal'!C25+G42*'Fane 15. Nøgletal'!C26</f>
        <v>525030.59705501469</v>
      </c>
      <c r="H43" s="14" t="s">
        <v>3</v>
      </c>
      <c r="I43" s="1"/>
    </row>
    <row r="44" spans="1:9" x14ac:dyDescent="0.25">
      <c r="A44" s="1"/>
      <c r="B44" s="32"/>
      <c r="C44" s="27"/>
      <c r="D44" s="27"/>
      <c r="E44" s="27"/>
      <c r="F44" s="27"/>
      <c r="G44" s="74"/>
      <c r="H44" s="19"/>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24" t="s">
        <v>244</v>
      </c>
      <c r="C52" s="125"/>
      <c r="D52" s="125"/>
      <c r="E52" s="125"/>
      <c r="F52" s="125"/>
      <c r="G52" s="133"/>
      <c r="H52" s="126"/>
      <c r="I52" s="1"/>
    </row>
    <row r="53" spans="1:9" x14ac:dyDescent="0.25">
      <c r="A53" s="1"/>
      <c r="B53" s="134" t="s">
        <v>140</v>
      </c>
      <c r="C53" s="135"/>
      <c r="D53" s="135"/>
      <c r="E53" s="135"/>
      <c r="F53" s="136"/>
      <c r="G53" s="72">
        <f>(G41+G42-G43)*(1+'Fane 15. Nøgletal'!C15)</f>
        <v>36194230.091404229</v>
      </c>
      <c r="H53" s="14" t="s">
        <v>3</v>
      </c>
      <c r="I53" s="1"/>
    </row>
    <row r="54" spans="1:9" x14ac:dyDescent="0.25">
      <c r="A54" s="1"/>
      <c r="B54" s="134" t="s">
        <v>141</v>
      </c>
      <c r="C54" s="135"/>
      <c r="D54" s="135"/>
      <c r="E54" s="135"/>
      <c r="F54" s="136"/>
      <c r="G54" s="72">
        <f>(G53)*'Fane 15. Nøgletal'!C26</f>
        <v>0</v>
      </c>
      <c r="H54" s="14" t="s">
        <v>3</v>
      </c>
      <c r="I54" s="1"/>
    </row>
    <row r="55" spans="1:9" x14ac:dyDescent="0.25">
      <c r="A55" s="1"/>
      <c r="B55" s="32"/>
      <c r="C55" s="27"/>
      <c r="D55" s="27"/>
      <c r="E55" s="27"/>
      <c r="F55" s="27"/>
      <c r="G55" s="74"/>
      <c r="H55" s="19"/>
      <c r="I55" s="1"/>
    </row>
    <row r="56" spans="1:9" x14ac:dyDescent="0.25">
      <c r="A56" s="1"/>
      <c r="B56" s="1"/>
      <c r="C56" s="1"/>
      <c r="D56" s="1"/>
      <c r="E56" s="1"/>
      <c r="F56" s="1"/>
      <c r="G56" s="75"/>
      <c r="H56" s="1"/>
      <c r="I56" s="1"/>
    </row>
    <row r="57" spans="1:9" x14ac:dyDescent="0.25">
      <c r="A57" s="1"/>
      <c r="B57" s="124" t="s">
        <v>153</v>
      </c>
      <c r="C57" s="125"/>
      <c r="D57" s="125"/>
      <c r="E57" s="125"/>
      <c r="F57" s="125"/>
      <c r="G57" s="133"/>
      <c r="H57" s="126"/>
      <c r="I57" s="1"/>
    </row>
    <row r="58" spans="1:9" x14ac:dyDescent="0.25">
      <c r="A58" s="1"/>
      <c r="B58" s="134" t="s">
        <v>173</v>
      </c>
      <c r="C58" s="135"/>
      <c r="D58" s="135"/>
      <c r="E58" s="135"/>
      <c r="F58" s="136"/>
      <c r="G58" s="72">
        <f>(G53-G54)*(1+'Fane 15. Nøgletal'!C15)</f>
        <v>37482744.682658225</v>
      </c>
      <c r="H58" s="14" t="s">
        <v>3</v>
      </c>
      <c r="I58" s="1"/>
    </row>
    <row r="59" spans="1:9" x14ac:dyDescent="0.25">
      <c r="A59" s="1"/>
      <c r="B59" s="134" t="s">
        <v>174</v>
      </c>
      <c r="C59" s="135"/>
      <c r="D59" s="135"/>
      <c r="E59" s="135"/>
      <c r="F59" s="136"/>
      <c r="G59" s="72">
        <f>(G58)*'Fane 15. Nøgletal'!C26</f>
        <v>0</v>
      </c>
      <c r="H59" s="14" t="s">
        <v>3</v>
      </c>
      <c r="I59" s="1"/>
    </row>
    <row r="60" spans="1:9" x14ac:dyDescent="0.25">
      <c r="A60" s="1"/>
      <c r="B60" s="32"/>
      <c r="C60" s="27"/>
      <c r="D60" s="27"/>
      <c r="E60" s="27"/>
      <c r="F60" s="27"/>
      <c r="G60" s="74"/>
      <c r="H60" s="19"/>
      <c r="I60" s="1"/>
    </row>
    <row r="61" spans="1:9" x14ac:dyDescent="0.25">
      <c r="A61" s="1"/>
      <c r="B61" s="1"/>
      <c r="C61" s="1"/>
      <c r="D61" s="1"/>
      <c r="E61" s="1"/>
      <c r="F61" s="1"/>
      <c r="G61" s="75"/>
      <c r="H61" s="1"/>
      <c r="I61" s="1"/>
    </row>
    <row r="62" spans="1:9" x14ac:dyDescent="0.25">
      <c r="A62" s="1"/>
      <c r="B62" s="124" t="s">
        <v>197</v>
      </c>
      <c r="C62" s="125"/>
      <c r="D62" s="125"/>
      <c r="E62" s="125"/>
      <c r="F62" s="125"/>
      <c r="G62" s="133"/>
      <c r="H62" s="126"/>
      <c r="I62" s="1"/>
    </row>
    <row r="63" spans="1:9" x14ac:dyDescent="0.25">
      <c r="A63" s="1"/>
      <c r="B63" s="134" t="s">
        <v>198</v>
      </c>
      <c r="C63" s="135"/>
      <c r="D63" s="135"/>
      <c r="E63" s="135"/>
      <c r="F63" s="136"/>
      <c r="G63" s="72">
        <f>(G58-G59)*(1+'Fane 15. Nøgletal'!C15)</f>
        <v>38817130.393360861</v>
      </c>
      <c r="H63" s="14" t="s">
        <v>3</v>
      </c>
      <c r="I63" s="1"/>
    </row>
    <row r="64" spans="1:9" x14ac:dyDescent="0.25">
      <c r="A64" s="1"/>
      <c r="B64" s="134" t="s">
        <v>199</v>
      </c>
      <c r="C64" s="135"/>
      <c r="D64" s="135"/>
      <c r="E64" s="135"/>
      <c r="F64" s="136"/>
      <c r="G64" s="72">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z+jjOfMUq9VEtZU1q9TP/bE9FnEhdxUDdw63Mlma77dON83ozjbhQKLxEKkzHF8m9R7t0NZPIhGbDLcSJ7dtw==" saltValue="qDkBFXiqSs8HC1jwyALhK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88</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6" t="s">
        <v>10</v>
      </c>
      <c r="C8" s="146"/>
      <c r="D8" s="146"/>
      <c r="E8" s="146"/>
      <c r="F8" s="146"/>
      <c r="G8" s="146"/>
      <c r="H8" s="1"/>
    </row>
    <row r="9" spans="1:8" x14ac:dyDescent="0.25">
      <c r="A9" s="1"/>
      <c r="B9" s="147" t="s">
        <v>154</v>
      </c>
      <c r="C9" s="147"/>
      <c r="D9" s="147"/>
      <c r="E9" s="147"/>
      <c r="F9" s="147"/>
      <c r="G9" s="35">
        <v>0</v>
      </c>
      <c r="H9" s="1"/>
    </row>
    <row r="10" spans="1:8" x14ac:dyDescent="0.25">
      <c r="A10" s="1"/>
      <c r="B10" s="148"/>
      <c r="C10" s="149"/>
      <c r="D10" s="149"/>
      <c r="E10" s="149"/>
      <c r="F10" s="149"/>
      <c r="G10" s="150"/>
      <c r="H10" s="1"/>
    </row>
    <row r="11" spans="1:8" ht="29.25" customHeight="1" x14ac:dyDescent="0.25">
      <c r="A11" s="1"/>
      <c r="B11" s="145" t="s">
        <v>238</v>
      </c>
      <c r="C11" s="145"/>
      <c r="D11" s="145"/>
      <c r="E11" s="145"/>
      <c r="F11" s="145"/>
      <c r="G11" s="14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ekhwn6iXnUT0J+Efc2VmRCZWlLY4/Xau+6zW22aKJcSY1mcZB9Xbr+xGkPPXyruceMJjQHk6mn+tOJbC/wXxbw==" saltValue="fvoRUpuZlN65SpdZl9PcYQ=="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2022-12-01T08:21:24Z</dcterms:modified>
</cp:coreProperties>
</file>