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codeName="Denne_projektmappe" defaultThemeVersion="124226"/>
  <mc:AlternateContent xmlns:mc="http://schemas.openxmlformats.org/markup-compatibility/2006">
    <mc:Choice Requires="x15">
      <x15ac:absPath xmlns:x15ac="http://schemas.microsoft.com/office/spreadsheetml/2010/11/ac" url="E:\VAND\Sagsbehandling\Spildevand\Brønderslev Spildevand AS (S012)\ØR2025\"/>
    </mc:Choice>
  </mc:AlternateContent>
  <xr:revisionPtr revIDLastSave="0" documentId="13_ncr:1_{D9B99EEA-E846-4338-B440-8B96EBAD89B8}"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8. Skattesagen" sheetId="41" r:id="rId12"/>
    <sheet name="Fane 9. Korrektion af ØR2023"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2025'!$B$8:$D$37</definedName>
    <definedName name="Fane21total">'Fane 2.1. Økonomisk ramme 2025'!$C$37</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2025'!$B$8:$D$37</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ØR2024'!$B$8:$D$40</definedName>
    <definedName name="ØR25total">'Fane 2.1. Økonomisk ramme 2025'!$C$37</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C23" i="43" l="1"/>
  <c r="C27" i="43" s="1"/>
  <c r="C32" i="2" s="1"/>
  <c r="F10" i="11" l="1"/>
  <c r="C11" i="29"/>
  <c r="C10" i="36" l="1"/>
  <c r="C10" i="30"/>
  <c r="C20" i="23" l="1"/>
  <c r="C22" i="22"/>
  <c r="C22" i="15"/>
  <c r="C36" i="2"/>
  <c r="C11" i="30" l="1"/>
  <c r="C15" i="30" s="1"/>
  <c r="C29" i="20" l="1"/>
  <c r="C28" i="20"/>
  <c r="C23" i="20"/>
  <c r="C22" i="20"/>
  <c r="C24" i="20" l="1"/>
  <c r="C30" i="20"/>
  <c r="C18" i="41"/>
  <c r="C16" i="20" l="1"/>
  <c r="C10" i="20"/>
  <c r="C31" i="43" l="1"/>
  <c r="C33" i="43" l="1"/>
  <c r="C20" i="22" l="1"/>
  <c r="C20" i="15"/>
  <c r="C12" i="29" l="1"/>
  <c r="E11" i="29"/>
  <c r="E12" i="29" s="1"/>
  <c r="E13" i="39"/>
  <c r="E14" i="39" s="1"/>
  <c r="C13" i="39"/>
  <c r="C14" i="39" s="1"/>
  <c r="J11" i="11"/>
  <c r="H11" i="11"/>
  <c r="C10" i="37" s="1"/>
  <c r="C20" i="19"/>
  <c r="C21" i="19" s="1"/>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19" i="37"/>
  <c r="C20" i="37" s="1"/>
  <c r="C10" i="2" l="1"/>
  <c r="C16" i="30" l="1"/>
  <c r="C17" i="30" s="1"/>
  <c r="C21" i="30" l="1"/>
  <c r="C22" i="30" s="1"/>
  <c r="C18" i="2"/>
  <c r="E19" i="37"/>
  <c r="E20" i="37" s="1"/>
  <c r="C12" i="15" l="1"/>
  <c r="C26" i="30"/>
  <c r="C27" i="30" s="1"/>
  <c r="C11" i="2" l="1"/>
  <c r="C16" i="36" s="1"/>
  <c r="C11" i="36" l="1"/>
  <c r="C15" i="36" s="1"/>
  <c r="C17" i="36" s="1"/>
  <c r="C19" i="2" l="1"/>
  <c r="C9" i="2"/>
  <c r="C16" i="2" s="1"/>
  <c r="C21" i="36" l="1"/>
  <c r="C22" i="36" s="1"/>
  <c r="C17" i="2"/>
  <c r="C20" i="2" l="1"/>
  <c r="C13" i="15"/>
  <c r="C26" i="36"/>
  <c r="C27" i="36" l="1"/>
  <c r="C13" i="22" s="1"/>
  <c r="C37" i="2"/>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<sst xmlns="http://schemas.openxmlformats.org/spreadsheetml/2006/main" count="550" uniqueCount="235">
  <si>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</si>
  <si>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</si>
  <si>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</si>
  <si>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</si>
  <si>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</si>
  <si>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</si>
  <si>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</si>
  <si>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</si>
  <si>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</si>
  <si>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</si>
  <si>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</si>
  <si>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</si>
  <si>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</si>
  <si>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</si>
  <si>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</si>
  <si>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</si>
  <si>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</si>
  <si>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</si>
  <si>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</si>
  <si>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</si>
  <si>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</si>
  <si>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</si>
  <si>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</si>
  <si>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</si>
  <si>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</si>
  <si>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</si>
  <si>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</si>
  <si>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</si>
  <si>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</si>
  <si>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</si>
  <si>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</si>
  <si>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</si>
  <si>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</si>
  <si>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</si>
  <si>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</si>
  <si>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</si>
  <si>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</si>
  <si>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</si>
  <si>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</si>
  <si>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</si>
  <si>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</si>
  <si>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</si>
  <si>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</si>
  <si>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</si>
  <si>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</si>
  <si>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</si>
  <si>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</si>
  <si>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</si>
  <si>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</si>
  <si>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</si>
  <si>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</si>
  <si>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</si>
  <si>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</si>
  <si>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</si>
  <si>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</si>
  <si>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</si>
  <si>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</si>
  <si>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</si>
  <si>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</si>
  <si>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</si>
  <si>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</si>
  <si>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</si>
  <si>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</si>
  <si>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</si>
  <si>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</si>
  <si>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</si>
  <si>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</si>
  <si>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</si>
  <si>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</si>
  <si>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</si>
  <si>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</si>
  <si>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</si>
  <si>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</si>
  <si>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</si>
  <si>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</si>
  <si>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</si>
  <si>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</si>
  <si>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</si>
  <si>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</si>
  <si>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</si>
  <si>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</si>
  <si>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</si>
  <si>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</si>
  <si>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</si>
  <si>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</si>
  <si>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</si>
  <si>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</si>
  <si>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</si>
  <si>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</si>
  <si>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</si>
  <si>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</si>
  <si>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</si>
  <si>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</si>
  <si>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</si>
  <si>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</si>
  <si>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</si>
  <si>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</si>
  <si>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</si>
  <si>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</si>
  <si>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</si>
  <si>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</si>
  <si>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</si>
  <si>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</si>
  <si>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</si>
  <si>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</si>
  <si>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</si>
  <si>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</si>
  <si>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</si>
  <si>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</si>
  <si>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</si>
  <si>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</si>
  <si>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</si>
  <si>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</si>
  <si>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</si>
  <si>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</si>
  <si>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</si>
  <si>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</si>
  <si>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</si>
  <si>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</si>
  <si>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</si>
  <si>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</si>
  <si>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</si>
  <si>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</si>
  <si>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</si>
  <si>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</si>
  <si>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</si>
  <si>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</si>
  <si>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</si>
  <si>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</si>
  <si>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</si>
  <si>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</si>
  <si>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</si>
  <si>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</si>
  <si>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</si>
  <si>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</si>
  <si>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</si>
  <si>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</si>
  <si>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</si>
  <si>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</si>
  <si>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</si>
  <si>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</si>
  <si>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</si>
  <si>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</si>
  <si>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</si>
  <si>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</si>
  <si>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</si>
  <si>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</si>
  <si>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</si>
  <si>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</si>
  <si>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</si>
  <si>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</si>
  <si>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</si>
  <si>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</si>
  <si>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</si>
  <si>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</si>
  <si>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</si>
  <si>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</si>
  <si>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</si>
  <si>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</si>
  <si>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</si>
  <si>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</si>
  <si>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</si>
  <si>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</si>
  <si>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</si>
  <si>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</si>
  <si>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</si>
  <si>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</si>
  <si>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</si>
  <si>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</si>
  <si>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</si>
  <si>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</si>
  <si>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</si>
  <si>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</si>
  <si>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</si>
  <si>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</si>
  <si>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</si>
  <si>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</si>
  <si>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</si>
  <si>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</si>
  <si>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</si>
  <si>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</si>
  <si>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</si>
  <si>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</si>
  <si>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</si>
  <si>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</si>
  <si>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</si>
  <si>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</si>
  <si>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</si>
  <si>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</si>
  <si>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</si>
  <si>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</si>
  <si>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</si>
  <si>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</si>
  <si>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</si>
  <si>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</si>
  <si>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</si>
  <si>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</si>
  <si>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</si>
  <si>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</si>
  <si>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</si>
  <si>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</si>
  <si>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</si>
  <si>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</si>
  <si>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</si>
  <si>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</si>
  <si>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</si>
  <si>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</si>
  <si>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</si>
  <si>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</si>
  <si>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</si>
  <si>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</si>
  <si>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</si>
  <si>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</si>
  <si>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Justering af den økonomiske ramme</t>
  </si>
  <si>
    <t>Justering af den økonomiske ramme for stigende el-omkostninger</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</si>
  <si>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</si>
  <si>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</si>
  <si>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</si>
  <si>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</si>
  <si>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</si>
  <si>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</si>
  <si>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</si>
  <si>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</si>
  <si>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</si>
  <si>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</si>
  <si>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Udvidelse af forsyningsområde</t>
  </si>
  <si>
    <t>Ingen engangstillæg</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</si>
  <si>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</si>
  <si>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</si>
  <si>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</si>
  <si>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Spildevandsafgift</t>
  </si>
  <si>
    <t>Afgift til Forsyningssekretariatet</t>
  </si>
  <si>
    <t>Køb af ydelser og produkter fra andre vandselskaber reguleret af vandsektorloven</t>
  </si>
  <si>
    <t>Gebyr til Miljøstyrelsen</t>
  </si>
  <si>
    <t>Til statusmeddelelse for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</si>
</sst>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1" fontId="8" fillId="8" borderId="1" xfId="1" applyNumberFormat="1" applyFont="1" applyFill="1" applyBorder="1" applyProtection="1"/>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9"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8" width="0" style="2" hidden="1" customWidth="1"/>
    <col min="9"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95" t="s">
        <v>4</v>
      </c>
      <c r="D6" s="95"/>
      <c r="E6" s="95"/>
      <c r="F6" s="95"/>
      <c r="G6" s="3"/>
    </row>
    <row r="7" spans="1:7" ht="15" customHeight="1" x14ac:dyDescent="0.25">
      <c r="A7" s="1"/>
      <c r="B7" s="3"/>
      <c r="C7" s="95"/>
      <c r="D7" s="95"/>
      <c r="E7" s="95"/>
      <c r="F7" s="95"/>
      <c r="G7" s="3"/>
    </row>
    <row r="8" spans="1:7" ht="15.75" x14ac:dyDescent="0.25">
      <c r="A8" s="1"/>
      <c r="B8" s="4"/>
      <c r="C8" s="100" t="s">
        <v>234</v>
      </c>
      <c r="D8" s="100"/>
      <c r="E8" s="100"/>
      <c r="F8" s="100"/>
      <c r="G8" s="4"/>
    </row>
    <row r="9" spans="1:7" x14ac:dyDescent="0.25">
      <c r="A9" s="1"/>
      <c r="B9" s="5"/>
      <c r="C9" s="5"/>
      <c r="D9" s="5"/>
      <c r="E9" s="5"/>
      <c r="F9" s="5"/>
      <c r="G9" s="5"/>
    </row>
    <row r="10" spans="1:7" x14ac:dyDescent="0.25">
      <c r="A10" s="1"/>
      <c r="B10" s="5"/>
      <c r="C10" s="5"/>
      <c r="D10" s="5"/>
      <c r="E10" s="5"/>
      <c r="F10" s="5"/>
      <c r="G10" s="5"/>
    </row>
    <row r="11" spans="1:7" x14ac:dyDescent="0.25">
      <c r="A11" s="1"/>
      <c r="B11" s="5"/>
      <c r="C11" s="99" t="s">
        <v>5</v>
      </c>
      <c r="D11" s="99"/>
      <c r="E11" s="99"/>
      <c r="F11" s="99"/>
      <c r="G11" s="5"/>
    </row>
    <row r="12" spans="1:7" x14ac:dyDescent="0.25">
      <c r="A12" s="1"/>
      <c r="B12" s="1"/>
      <c r="C12" s="1"/>
      <c r="D12" s="1"/>
      <c r="E12" s="1"/>
      <c r="F12" s="1"/>
      <c r="G12" s="5"/>
    </row>
    <row r="13" spans="1:7" x14ac:dyDescent="0.25">
      <c r="A13" s="1"/>
      <c r="B13" s="6" t="s">
        <v>6</v>
      </c>
      <c r="C13" s="101" t="s">
        <v>127</v>
      </c>
      <c r="D13" s="102"/>
      <c r="E13" s="102"/>
      <c r="F13" s="103"/>
      <c r="G13" s="5"/>
    </row>
    <row r="14" spans="1:7" x14ac:dyDescent="0.25">
      <c r="A14" s="1"/>
      <c r="B14" s="6" t="s">
        <v>16</v>
      </c>
      <c r="C14" s="92" t="s">
        <v>186</v>
      </c>
      <c r="D14" s="93"/>
      <c r="E14" s="93"/>
      <c r="F14" s="94"/>
      <c r="G14" s="5"/>
    </row>
    <row r="15" spans="1:7" x14ac:dyDescent="0.25">
      <c r="A15" s="1"/>
      <c r="B15" s="6" t="s">
        <v>30</v>
      </c>
      <c r="C15" s="92" t="s">
        <v>149</v>
      </c>
      <c r="D15" s="93"/>
      <c r="E15" s="93"/>
      <c r="F15" s="94"/>
      <c r="G15" s="5"/>
    </row>
    <row r="16" spans="1:7" x14ac:dyDescent="0.25">
      <c r="A16" s="1"/>
      <c r="B16" s="6" t="s">
        <v>31</v>
      </c>
      <c r="C16" s="92" t="s">
        <v>151</v>
      </c>
      <c r="D16" s="93"/>
      <c r="E16" s="93"/>
      <c r="F16" s="94"/>
      <c r="G16" s="5"/>
    </row>
    <row r="17" spans="1:8" x14ac:dyDescent="0.25">
      <c r="A17" s="1"/>
      <c r="B17" s="6" t="s">
        <v>61</v>
      </c>
      <c r="C17" s="92" t="s">
        <v>152</v>
      </c>
      <c r="D17" s="93"/>
      <c r="E17" s="93"/>
      <c r="F17" s="94"/>
      <c r="G17" s="5"/>
    </row>
    <row r="18" spans="1:8" x14ac:dyDescent="0.25">
      <c r="A18" s="1"/>
      <c r="B18" s="6" t="s">
        <v>53</v>
      </c>
      <c r="C18" s="89" t="s">
        <v>45</v>
      </c>
      <c r="D18" s="90"/>
      <c r="E18" s="90"/>
      <c r="F18" s="91"/>
      <c r="G18" s="5"/>
    </row>
    <row r="19" spans="1:8" x14ac:dyDescent="0.25">
      <c r="A19" s="1"/>
      <c r="B19" s="6" t="s">
        <v>54</v>
      </c>
      <c r="C19" s="89" t="s">
        <v>46</v>
      </c>
      <c r="D19" s="90"/>
      <c r="E19" s="90"/>
      <c r="F19" s="91"/>
      <c r="G19" s="5"/>
    </row>
    <row r="20" spans="1:8" x14ac:dyDescent="0.25">
      <c r="A20" s="1"/>
      <c r="B20" s="6" t="s">
        <v>7</v>
      </c>
      <c r="C20" s="89" t="s">
        <v>10</v>
      </c>
      <c r="D20" s="90"/>
      <c r="E20" s="90"/>
      <c r="F20" s="91"/>
      <c r="G20" s="5"/>
    </row>
    <row r="21" spans="1:8" x14ac:dyDescent="0.25">
      <c r="A21" s="1"/>
      <c r="B21" s="6" t="s">
        <v>55</v>
      </c>
      <c r="C21" s="96" t="s">
        <v>12</v>
      </c>
      <c r="D21" s="97"/>
      <c r="E21" s="97"/>
      <c r="F21" s="98"/>
      <c r="G21" s="5"/>
    </row>
    <row r="22" spans="1:8" x14ac:dyDescent="0.25">
      <c r="A22" s="1"/>
      <c r="B22" s="6" t="s">
        <v>39</v>
      </c>
      <c r="C22" s="83" t="s">
        <v>153</v>
      </c>
      <c r="D22" s="84"/>
      <c r="E22" s="84"/>
      <c r="F22" s="85"/>
      <c r="G22" s="5"/>
    </row>
    <row r="23" spans="1:8" x14ac:dyDescent="0.25">
      <c r="A23" s="1"/>
      <c r="B23" s="6" t="s">
        <v>8</v>
      </c>
      <c r="C23" s="83" t="s">
        <v>112</v>
      </c>
      <c r="D23" s="84"/>
      <c r="E23" s="84"/>
      <c r="F23" s="85"/>
      <c r="G23" s="5"/>
    </row>
    <row r="24" spans="1:8" x14ac:dyDescent="0.25">
      <c r="A24" s="1"/>
      <c r="B24" s="6" t="s">
        <v>9</v>
      </c>
      <c r="C24" s="83" t="s">
        <v>154</v>
      </c>
      <c r="D24" s="84"/>
      <c r="E24" s="84"/>
      <c r="F24" s="85"/>
      <c r="G24" s="5"/>
    </row>
    <row r="25" spans="1:8" x14ac:dyDescent="0.25">
      <c r="A25" s="1"/>
      <c r="B25" s="6" t="s">
        <v>97</v>
      </c>
      <c r="C25" s="83" t="s">
        <v>91</v>
      </c>
      <c r="D25" s="84"/>
      <c r="E25" s="84"/>
      <c r="F25" s="85"/>
      <c r="G25" s="1"/>
    </row>
    <row r="26" spans="1:8" x14ac:dyDescent="0.25">
      <c r="A26" s="1"/>
      <c r="B26" s="6" t="s">
        <v>98</v>
      </c>
      <c r="C26" s="83" t="s">
        <v>40</v>
      </c>
      <c r="D26" s="84"/>
      <c r="E26" s="84"/>
      <c r="F26" s="85"/>
      <c r="G26" s="1"/>
    </row>
    <row r="27" spans="1:8" x14ac:dyDescent="0.25">
      <c r="A27" s="1"/>
      <c r="B27" s="6" t="s">
        <v>99</v>
      </c>
      <c r="C27" s="83" t="s">
        <v>41</v>
      </c>
      <c r="D27" s="84"/>
      <c r="E27" s="84"/>
      <c r="F27" s="85"/>
      <c r="G27" s="1"/>
    </row>
    <row r="28" spans="1:8" x14ac:dyDescent="0.25">
      <c r="A28" s="1"/>
      <c r="B28" s="6" t="s">
        <v>15</v>
      </c>
      <c r="C28" s="83" t="s">
        <v>42</v>
      </c>
      <c r="D28" s="84"/>
      <c r="E28" s="84"/>
      <c r="F28" s="85"/>
      <c r="G28" s="1"/>
      <c r="H28" s="2" t="s">
        <v>150</v>
      </c>
    </row>
    <row r="29" spans="1:8" x14ac:dyDescent="0.25">
      <c r="A29" s="1"/>
      <c r="B29" s="6" t="s">
        <v>33</v>
      </c>
      <c r="C29" s="83" t="s">
        <v>68</v>
      </c>
      <c r="D29" s="84"/>
      <c r="E29" s="84"/>
      <c r="F29" s="85"/>
      <c r="G29" s="1"/>
    </row>
    <row r="30" spans="1:8" x14ac:dyDescent="0.25">
      <c r="A30" s="1"/>
      <c r="B30" s="6" t="s">
        <v>34</v>
      </c>
      <c r="C30" s="83" t="s">
        <v>32</v>
      </c>
      <c r="D30" s="84"/>
      <c r="E30" s="84"/>
      <c r="F30" s="85"/>
      <c r="G30" s="1"/>
    </row>
    <row r="31" spans="1:8" x14ac:dyDescent="0.25">
      <c r="A31" s="1"/>
      <c r="B31" s="6" t="s">
        <v>100</v>
      </c>
      <c r="C31" s="86" t="s">
        <v>52</v>
      </c>
      <c r="D31" s="87"/>
      <c r="E31" s="87"/>
      <c r="F31" s="88"/>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4"/>
      <c r="B50" s="44"/>
      <c r="C50" s="44"/>
      <c r="D50" s="44"/>
      <c r="E50" s="44"/>
      <c r="F50" s="44"/>
      <c r="G50" s="44"/>
    </row>
  </sheetData>
  <sheetProtection algorithmName="SHA-512" hashValue="QuXOTNUdtJh5M6rdgz60mNPOo51wOdu/Ps6u5yn9+IUrYlQI/iwQG5G1LFpobjrPkAwGuKM3q/iLf/q7PcneGA==" saltValue="LGaLXUwoZyeSC/XATqyPlg==" spinCount="100000" sheet="1" objects="1" scenarios="1"/>
  <mergeCells count="22">
    <mergeCell ref="C14:F14"/>
    <mergeCell ref="C6:F7"/>
    <mergeCell ref="C21:F21"/>
    <mergeCell ref="C22:F22"/>
    <mergeCell ref="C11:F11"/>
    <mergeCell ref="C8:F8"/>
    <mergeCell ref="C15:F15"/>
    <mergeCell ref="C16:F16"/>
    <mergeCell ref="C19:F19"/>
    <mergeCell ref="C13:F13"/>
    <mergeCell ref="C17:F17"/>
    <mergeCell ref="C20:F20"/>
    <mergeCell ref="C30:F30"/>
    <mergeCell ref="C31:F31"/>
    <mergeCell ref="C18:F18"/>
    <mergeCell ref="C25:F25"/>
    <mergeCell ref="C26:F26"/>
    <mergeCell ref="C29:F29"/>
    <mergeCell ref="C27:F27"/>
    <mergeCell ref="C28:F28"/>
    <mergeCell ref="C24:F24"/>
    <mergeCell ref="C23:F23"/>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58</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08" t="s">
        <v>165</v>
      </c>
      <c r="C8" s="109"/>
      <c r="D8" s="110"/>
      <c r="E8" s="1"/>
    </row>
    <row r="9" spans="1:5" ht="15" customHeight="1" x14ac:dyDescent="0.25">
      <c r="A9" s="1"/>
      <c r="B9" s="27" t="s">
        <v>28</v>
      </c>
      <c r="C9" s="67" t="s">
        <v>166</v>
      </c>
      <c r="D9" s="11"/>
      <c r="E9" s="1"/>
    </row>
    <row r="10" spans="1:5" ht="15" customHeight="1" x14ac:dyDescent="0.25">
      <c r="A10" s="1"/>
      <c r="B10" s="71" t="s">
        <v>230</v>
      </c>
      <c r="C10" s="72">
        <v>1128796</v>
      </c>
      <c r="D10" s="14" t="s">
        <v>3</v>
      </c>
      <c r="E10" s="1"/>
    </row>
    <row r="11" spans="1:5" ht="15" customHeight="1" x14ac:dyDescent="0.25">
      <c r="A11" s="1"/>
      <c r="B11" s="71" t="s">
        <v>231</v>
      </c>
      <c r="C11" s="72">
        <v>65151</v>
      </c>
      <c r="D11" s="14" t="s">
        <v>3</v>
      </c>
      <c r="E11" s="1"/>
    </row>
    <row r="12" spans="1:5" ht="25.5" x14ac:dyDescent="0.25">
      <c r="A12" s="1"/>
      <c r="B12" s="71" t="s">
        <v>232</v>
      </c>
      <c r="C12" s="72">
        <v>100651</v>
      </c>
      <c r="D12" s="14" t="s">
        <v>3</v>
      </c>
      <c r="E12" s="1"/>
    </row>
    <row r="13" spans="1:5" x14ac:dyDescent="0.25">
      <c r="A13" s="1"/>
      <c r="B13" s="71" t="s">
        <v>233</v>
      </c>
      <c r="C13" s="72">
        <v>14558</v>
      </c>
      <c r="D13" s="14" t="s">
        <v>3</v>
      </c>
      <c r="E13" s="1"/>
    </row>
    <row r="14" spans="1:5" x14ac:dyDescent="0.25">
      <c r="A14" s="1"/>
      <c r="B14" s="71"/>
      <c r="C14" s="72"/>
      <c r="D14" s="14" t="s">
        <v>3</v>
      </c>
      <c r="E14" s="1"/>
    </row>
    <row r="15" spans="1:5" x14ac:dyDescent="0.25">
      <c r="A15" s="1"/>
      <c r="B15" s="71"/>
      <c r="C15" s="72"/>
      <c r="D15" s="14" t="s">
        <v>3</v>
      </c>
      <c r="E15" s="1"/>
    </row>
    <row r="16" spans="1:5" x14ac:dyDescent="0.25">
      <c r="A16" s="1"/>
      <c r="B16" s="71"/>
      <c r="C16" s="72"/>
      <c r="D16" s="14" t="s">
        <v>3</v>
      </c>
      <c r="E16" s="1"/>
    </row>
    <row r="17" spans="1:5" x14ac:dyDescent="0.25">
      <c r="A17" s="1"/>
      <c r="B17" s="71"/>
      <c r="C17" s="72"/>
      <c r="D17" s="14" t="s">
        <v>3</v>
      </c>
      <c r="E17" s="1"/>
    </row>
    <row r="18" spans="1:5" x14ac:dyDescent="0.25">
      <c r="A18" s="1"/>
      <c r="B18" s="71"/>
      <c r="C18" s="72"/>
      <c r="D18" s="14" t="s">
        <v>3</v>
      </c>
      <c r="E18" s="1"/>
    </row>
    <row r="19" spans="1:5" x14ac:dyDescent="0.25">
      <c r="A19" s="1"/>
      <c r="B19" s="71"/>
      <c r="C19" s="72"/>
      <c r="D19" s="14" t="s">
        <v>3</v>
      </c>
      <c r="E19" s="1"/>
    </row>
    <row r="20" spans="1:5" x14ac:dyDescent="0.25">
      <c r="A20" s="1"/>
      <c r="B20" s="33" t="s">
        <v>167</v>
      </c>
      <c r="C20" s="12">
        <f>SUM(C10:C19)</f>
        <v>1309156</v>
      </c>
      <c r="D20" s="13" t="s">
        <v>3</v>
      </c>
      <c r="E20" s="1"/>
    </row>
    <row r="21" spans="1:5" x14ac:dyDescent="0.25">
      <c r="A21" s="1"/>
      <c r="B21" s="33" t="s">
        <v>168</v>
      </c>
      <c r="C21" s="12">
        <f>C20*(1+'Fane 15. Nøgletal'!C10)^2</f>
        <v>1488504.72953764</v>
      </c>
      <c r="D21" s="13" t="s">
        <v>3</v>
      </c>
      <c r="E21" s="1"/>
    </row>
    <row r="22" spans="1:5" x14ac:dyDescent="0.25">
      <c r="A22" s="1"/>
      <c r="B22" s="16"/>
      <c r="C22" s="15"/>
      <c r="D22" s="15"/>
      <c r="E22" s="1"/>
    </row>
    <row r="23" spans="1:5" x14ac:dyDescent="0.25">
      <c r="A23" s="1"/>
      <c r="B23" s="16"/>
      <c r="C23" s="15"/>
      <c r="D23" s="15"/>
      <c r="E23" s="1"/>
    </row>
    <row r="24" spans="1:5" x14ac:dyDescent="0.25">
      <c r="A24" s="1"/>
      <c r="B24" s="108" t="s">
        <v>60</v>
      </c>
      <c r="C24" s="109"/>
      <c r="D24" s="110"/>
      <c r="E24" s="1"/>
    </row>
    <row r="25" spans="1:5" x14ac:dyDescent="0.25">
      <c r="A25" s="1"/>
      <c r="B25" s="37" t="s">
        <v>72</v>
      </c>
      <c r="C25" s="9">
        <v>0</v>
      </c>
      <c r="D25" s="14" t="s">
        <v>3</v>
      </c>
      <c r="E25" s="1"/>
    </row>
    <row r="26" spans="1:5" x14ac:dyDescent="0.25">
      <c r="A26" s="1"/>
      <c r="B26" s="37" t="s">
        <v>83</v>
      </c>
      <c r="C26" s="9">
        <v>0</v>
      </c>
      <c r="D26" s="14" t="s">
        <v>3</v>
      </c>
      <c r="E26" s="1"/>
    </row>
    <row r="27" spans="1:5" x14ac:dyDescent="0.25">
      <c r="A27" s="1"/>
      <c r="B27" s="37" t="s">
        <v>148</v>
      </c>
      <c r="C27" s="9">
        <v>0</v>
      </c>
      <c r="D27" s="14" t="s">
        <v>3</v>
      </c>
      <c r="E27" s="1"/>
    </row>
    <row r="28" spans="1:5" x14ac:dyDescent="0.25">
      <c r="A28" s="1"/>
      <c r="B28" s="34" t="s">
        <v>169</v>
      </c>
      <c r="C28" s="9">
        <v>0</v>
      </c>
      <c r="D28" s="36" t="s">
        <v>3</v>
      </c>
      <c r="E28" s="1"/>
    </row>
    <row r="29" spans="1:5" x14ac:dyDescent="0.25">
      <c r="A29" s="1"/>
      <c r="B29" s="108"/>
      <c r="C29" s="109"/>
      <c r="D29" s="110"/>
      <c r="E29" s="1"/>
    </row>
    <row r="30" spans="1:5" x14ac:dyDescent="0.25">
      <c r="A30" s="1"/>
      <c r="B30" s="1"/>
      <c r="C30" s="1"/>
      <c r="D30" s="1"/>
      <c r="E30" s="1"/>
    </row>
    <row r="31" spans="1:5" x14ac:dyDescent="0.25">
      <c r="A31" s="1"/>
      <c r="B31" s="1"/>
      <c r="C31" s="1"/>
      <c r="D31" s="1"/>
      <c r="E31" s="1"/>
    </row>
    <row r="32" spans="1:5" x14ac:dyDescent="0.25">
      <c r="A32" s="1"/>
      <c r="B32" s="108" t="s">
        <v>47</v>
      </c>
      <c r="C32" s="109"/>
      <c r="D32" s="110"/>
      <c r="E32" s="1"/>
    </row>
    <row r="33" spans="1:5" x14ac:dyDescent="0.25">
      <c r="A33" s="1"/>
      <c r="B33" s="37" t="s">
        <v>72</v>
      </c>
      <c r="C33" s="9">
        <v>0</v>
      </c>
      <c r="D33" s="14" t="s">
        <v>3</v>
      </c>
      <c r="E33" s="1"/>
    </row>
    <row r="34" spans="1:5" x14ac:dyDescent="0.25">
      <c r="A34" s="1"/>
      <c r="B34" s="37" t="s">
        <v>83</v>
      </c>
      <c r="C34" s="9">
        <v>0</v>
      </c>
      <c r="D34" s="14" t="s">
        <v>3</v>
      </c>
      <c r="E34" s="1"/>
    </row>
    <row r="35" spans="1:5" x14ac:dyDescent="0.25">
      <c r="A35" s="1"/>
      <c r="B35" s="37" t="s">
        <v>148</v>
      </c>
      <c r="C35" s="9">
        <v>0</v>
      </c>
      <c r="D35" s="14" t="s">
        <v>3</v>
      </c>
      <c r="E35" s="1"/>
    </row>
    <row r="36" spans="1:5" x14ac:dyDescent="0.25">
      <c r="A36" s="1"/>
      <c r="B36" s="34" t="s">
        <v>169</v>
      </c>
      <c r="C36" s="9">
        <v>0</v>
      </c>
      <c r="D36" s="36" t="s">
        <v>3</v>
      </c>
      <c r="E36" s="1"/>
    </row>
    <row r="37" spans="1:5" x14ac:dyDescent="0.25">
      <c r="A37" s="1"/>
      <c r="B37" s="108"/>
      <c r="C37" s="109"/>
      <c r="D37" s="110"/>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row r="56" spans="1:5" hidden="1" x14ac:dyDescent="0.25">
      <c r="A56" s="44"/>
      <c r="B56" s="44"/>
      <c r="C56" s="44"/>
      <c r="D56" s="44"/>
      <c r="E56" s="44"/>
    </row>
  </sheetData>
  <sheetProtection algorithmName="SHA-512" hashValue="l+SmDL/CvUORf07PE7MmAKcaO6YnmLr8lbvnEvQrpI05Hmd04fHvZRFxWp7hSHrRf3LtYsJSYJ6JDyk6fHS1CQ==" saltValue="yxsbW+Qgbk9UAM9+UfRMkQ=="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7" t="s">
        <v>201</v>
      </c>
      <c r="C3" s="107"/>
      <c r="D3" s="107"/>
      <c r="E3" s="1"/>
    </row>
    <row r="4" spans="1:5" ht="15" customHeight="1" x14ac:dyDescent="0.25">
      <c r="A4" s="1"/>
      <c r="B4" s="107"/>
      <c r="C4" s="107"/>
      <c r="D4" s="107"/>
      <c r="E4" s="1"/>
    </row>
    <row r="5" spans="1:5" ht="15" customHeight="1" x14ac:dyDescent="0.25">
      <c r="A5" s="1"/>
      <c r="B5" s="107"/>
      <c r="C5" s="107"/>
      <c r="D5" s="107"/>
      <c r="E5" s="1"/>
    </row>
    <row r="6" spans="1:5" ht="15" customHeight="1" x14ac:dyDescent="0.25">
      <c r="A6" s="1"/>
      <c r="B6" s="74"/>
      <c r="C6" s="74"/>
      <c r="D6" s="74"/>
      <c r="E6" s="1"/>
    </row>
    <row r="7" spans="1:5" x14ac:dyDescent="0.25">
      <c r="A7" s="1"/>
      <c r="B7" s="1"/>
      <c r="C7" s="1"/>
      <c r="D7" s="1"/>
      <c r="E7" s="1"/>
    </row>
    <row r="8" spans="1:5" x14ac:dyDescent="0.25">
      <c r="A8" s="1"/>
      <c r="B8" s="108" t="s">
        <v>77</v>
      </c>
      <c r="C8" s="109"/>
      <c r="D8" s="110"/>
      <c r="E8" s="1"/>
    </row>
    <row r="9" spans="1:5" x14ac:dyDescent="0.25">
      <c r="A9" s="1"/>
      <c r="B9" s="65" t="s">
        <v>204</v>
      </c>
      <c r="C9" s="9">
        <v>3465050.8040430769</v>
      </c>
      <c r="D9" s="14" t="s">
        <v>3</v>
      </c>
      <c r="E9" s="1"/>
    </row>
    <row r="10" spans="1:5" x14ac:dyDescent="0.25">
      <c r="A10" s="1"/>
      <c r="B10" s="33"/>
      <c r="C10" s="28"/>
      <c r="D10" s="19"/>
      <c r="E10" s="1"/>
    </row>
    <row r="11" spans="1:5" ht="53.25" customHeight="1" x14ac:dyDescent="0.25">
      <c r="A11" s="1"/>
      <c r="B11" s="119" t="s">
        <v>212</v>
      </c>
      <c r="C11" s="120"/>
      <c r="D11" s="121"/>
      <c r="E11" s="1"/>
    </row>
    <row r="12" spans="1:5" x14ac:dyDescent="0.25">
      <c r="A12" s="1"/>
      <c r="B12" s="1"/>
      <c r="C12" s="1"/>
      <c r="D12" s="1"/>
      <c r="E12" s="1"/>
    </row>
    <row r="13" spans="1:5" x14ac:dyDescent="0.25">
      <c r="A13" s="1"/>
      <c r="B13" s="108" t="s">
        <v>78</v>
      </c>
      <c r="C13" s="109"/>
      <c r="D13" s="110"/>
      <c r="E13" s="1"/>
    </row>
    <row r="14" spans="1:5" x14ac:dyDescent="0.25">
      <c r="A14" s="1"/>
      <c r="B14" s="65" t="s">
        <v>202</v>
      </c>
      <c r="C14" s="9">
        <v>0</v>
      </c>
      <c r="D14" s="14" t="s">
        <v>3</v>
      </c>
      <c r="E14" s="1"/>
    </row>
    <row r="15" spans="1:5" x14ac:dyDescent="0.25">
      <c r="A15" s="1"/>
      <c r="B15" s="65" t="s">
        <v>203</v>
      </c>
      <c r="C15" s="9">
        <v>0</v>
      </c>
      <c r="D15" s="14" t="s">
        <v>3</v>
      </c>
      <c r="E15" s="1"/>
    </row>
    <row r="16" spans="1:5" x14ac:dyDescent="0.25">
      <c r="A16" s="1"/>
      <c r="B16" s="33"/>
      <c r="C16" s="28"/>
      <c r="D16" s="19"/>
      <c r="E16" s="1"/>
    </row>
    <row r="17" spans="1:5" ht="29.25" customHeight="1" x14ac:dyDescent="0.25">
      <c r="A17" s="1"/>
      <c r="B17" s="119" t="s">
        <v>121</v>
      </c>
      <c r="C17" s="120"/>
      <c r="D17" s="121"/>
      <c r="E17" s="1"/>
    </row>
    <row r="18" spans="1:5" x14ac:dyDescent="0.25">
      <c r="A18" s="1"/>
      <c r="B18" s="1"/>
      <c r="C18" s="1"/>
      <c r="D18" s="1"/>
      <c r="E18" s="1"/>
    </row>
    <row r="19" spans="1:5" x14ac:dyDescent="0.25">
      <c r="A19" s="1"/>
      <c r="B19" s="75" t="s">
        <v>205</v>
      </c>
      <c r="C19" s="76"/>
      <c r="D19" s="77"/>
      <c r="E19" s="1"/>
    </row>
    <row r="20" spans="1:5" x14ac:dyDescent="0.25">
      <c r="A20" s="1"/>
      <c r="B20" s="65" t="s">
        <v>206</v>
      </c>
      <c r="C20" s="9">
        <v>51234974.910760544</v>
      </c>
      <c r="D20" s="14" t="s">
        <v>3</v>
      </c>
      <c r="E20" s="1"/>
    </row>
    <row r="21" spans="1:5" x14ac:dyDescent="0.25">
      <c r="A21" s="1"/>
      <c r="B21" s="65" t="s">
        <v>207</v>
      </c>
      <c r="C21" s="9">
        <v>45918049</v>
      </c>
      <c r="D21" s="14" t="s">
        <v>3</v>
      </c>
      <c r="E21" s="1"/>
    </row>
    <row r="22" spans="1:5" x14ac:dyDescent="0.25">
      <c r="A22" s="1"/>
      <c r="B22" s="65" t="s">
        <v>29</v>
      </c>
      <c r="C22" s="9">
        <v>0</v>
      </c>
      <c r="D22" s="14" t="s">
        <v>3</v>
      </c>
      <c r="E22" s="1"/>
    </row>
    <row r="23" spans="1:5" x14ac:dyDescent="0.25">
      <c r="A23" s="1"/>
      <c r="B23" s="81" t="s">
        <v>208</v>
      </c>
      <c r="C23" s="57">
        <f>C20-C21-C22</f>
        <v>5316925.9107605442</v>
      </c>
      <c r="D23" s="17" t="s">
        <v>3</v>
      </c>
      <c r="E23" s="1"/>
    </row>
    <row r="24" spans="1:5" x14ac:dyDescent="0.25">
      <c r="A24" s="1"/>
      <c r="B24" s="33"/>
      <c r="C24" s="28"/>
      <c r="D24" s="19"/>
      <c r="E24" s="1"/>
    </row>
    <row r="25" spans="1:5" x14ac:dyDescent="0.25">
      <c r="A25" s="1"/>
      <c r="B25" s="1"/>
      <c r="C25" s="1"/>
      <c r="D25" s="1"/>
      <c r="E25" s="1"/>
    </row>
    <row r="26" spans="1:5" x14ac:dyDescent="0.25">
      <c r="A26" s="1"/>
      <c r="B26" s="108" t="s">
        <v>209</v>
      </c>
      <c r="C26" s="109"/>
      <c r="D26" s="110"/>
      <c r="E26" s="1"/>
    </row>
    <row r="27" spans="1:5" x14ac:dyDescent="0.25">
      <c r="A27" s="1"/>
      <c r="B27" s="81" t="s">
        <v>210</v>
      </c>
      <c r="C27" s="57">
        <f>IF(AND(C15&lt;0,C23&gt;0,ABS(SUM(C14:C15))&lt;C23),ABS(C14),IF(AND(C15&lt;0,C23&gt;0,ABS(SUM(C14:C15))&gt;C23),SUM(C14,C23),C15))</f>
        <v>0</v>
      </c>
      <c r="D27" s="17" t="s">
        <v>3</v>
      </c>
      <c r="E27" s="1"/>
    </row>
    <row r="28" spans="1:5" x14ac:dyDescent="0.25">
      <c r="A28" s="1"/>
      <c r="B28" s="108"/>
      <c r="C28" s="109"/>
      <c r="D28" s="110"/>
      <c r="E28" s="1"/>
    </row>
    <row r="29" spans="1:5" x14ac:dyDescent="0.25">
      <c r="A29" s="1"/>
      <c r="B29" s="1"/>
      <c r="C29" s="1"/>
      <c r="D29" s="1"/>
      <c r="E29" s="1"/>
    </row>
    <row r="30" spans="1:5" x14ac:dyDescent="0.25">
      <c r="A30" s="1"/>
      <c r="B30" s="108" t="s">
        <v>211</v>
      </c>
      <c r="C30" s="109"/>
      <c r="D30" s="110"/>
      <c r="E30" s="1"/>
    </row>
    <row r="31" spans="1:5" x14ac:dyDescent="0.25">
      <c r="A31" s="1"/>
      <c r="B31" s="66" t="s">
        <v>69</v>
      </c>
      <c r="C31" s="58">
        <f>IF(AND(C9&gt;0,(C9+C23)&gt;0),0,IF(AND(C9&gt;0,(C9+C23)&lt;0),(C9+C23),IF(AND(C9&lt;0,C23&lt;0),C23,0)))</f>
        <v>0</v>
      </c>
      <c r="D31" s="14" t="s">
        <v>3</v>
      </c>
      <c r="E31" s="1"/>
    </row>
    <row r="32" spans="1:5" x14ac:dyDescent="0.25">
      <c r="A32" s="1"/>
      <c r="B32" s="66" t="s">
        <v>49</v>
      </c>
      <c r="C32" s="9">
        <v>2</v>
      </c>
      <c r="D32" s="14" t="s">
        <v>20</v>
      </c>
      <c r="E32" s="1"/>
    </row>
    <row r="33" spans="1:5" x14ac:dyDescent="0.25">
      <c r="A33" s="1"/>
      <c r="B33" s="67" t="s">
        <v>70</v>
      </c>
      <c r="C33" s="57">
        <f>C31/C32</f>
        <v>0</v>
      </c>
      <c r="D33" s="17" t="s">
        <v>3</v>
      </c>
      <c r="E33" s="1"/>
    </row>
    <row r="34" spans="1:5" x14ac:dyDescent="0.25">
      <c r="A34" s="1"/>
      <c r="B34" s="116"/>
      <c r="C34" s="117"/>
      <c r="D34" s="118"/>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4"/>
      <c r="B46" s="44"/>
      <c r="C46" s="44"/>
      <c r="D46" s="44"/>
      <c r="E46" s="44"/>
    </row>
    <row r="47" spans="1:5" hidden="1" x14ac:dyDescent="0.25">
      <c r="A47" s="44"/>
      <c r="B47" s="44"/>
      <c r="C47" s="44"/>
      <c r="D47" s="44"/>
      <c r="E47" s="44"/>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E53" s="44"/>
    </row>
  </sheetData>
  <sheetProtection algorithmName="SHA-512" hashValue="5yz2Cs5fXaVyZ1UZ7RK43qu9G3/0LFDHmRoYgGGGJwhUzeHCp5L61OfsZ947amRDlPvu1zCnKStUsTgEJzetyw==" saltValue="Q0OjS8LforIVV9y9UZ6mUg=="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5" zeroHeight="1" x14ac:dyDescent="0.25"/>
  <cols>
    <col min="1" max="1" width="5.28515625" style="56" customWidth="1"/>
    <col min="2" max="2" width="57.140625" style="56" customWidth="1"/>
    <col min="3" max="3" width="12.5703125" style="56" customWidth="1"/>
    <col min="4" max="4" width="3.140625" style="56" customWidth="1"/>
    <col min="5" max="5" width="5.28515625" style="56" customWidth="1"/>
    <col min="6" max="16384" width="9.140625" style="56" hidden="1"/>
  </cols>
  <sheetData>
    <row r="1" spans="1:5" x14ac:dyDescent="0.25">
      <c r="A1" s="1"/>
      <c r="B1" s="1"/>
      <c r="C1" s="1"/>
      <c r="D1" s="1"/>
      <c r="E1" s="1"/>
    </row>
    <row r="2" spans="1:5" x14ac:dyDescent="0.25">
      <c r="A2" s="1"/>
      <c r="B2" s="1"/>
      <c r="C2" s="1"/>
      <c r="D2" s="1"/>
      <c r="E2" s="1"/>
    </row>
    <row r="3" spans="1:5" ht="15" customHeight="1" x14ac:dyDescent="0.25">
      <c r="A3" s="1"/>
      <c r="B3" s="107" t="s">
        <v>101</v>
      </c>
      <c r="C3" s="107"/>
      <c r="D3" s="107"/>
      <c r="E3" s="1"/>
    </row>
    <row r="4" spans="1:5" ht="15" customHeight="1" x14ac:dyDescent="0.25">
      <c r="A4" s="1"/>
      <c r="B4" s="107"/>
      <c r="C4" s="107"/>
      <c r="D4" s="107"/>
      <c r="E4" s="1"/>
    </row>
    <row r="5" spans="1:5" x14ac:dyDescent="0.25">
      <c r="A5" s="1"/>
      <c r="B5" s="107"/>
      <c r="C5" s="107"/>
      <c r="D5" s="107"/>
      <c r="E5" s="1"/>
    </row>
    <row r="6" spans="1:5" x14ac:dyDescent="0.25">
      <c r="A6" s="1"/>
      <c r="B6" s="1"/>
      <c r="C6" s="1"/>
      <c r="D6" s="1"/>
      <c r="E6" s="1"/>
    </row>
    <row r="7" spans="1:5" x14ac:dyDescent="0.25">
      <c r="A7" s="1"/>
      <c r="B7" s="1"/>
      <c r="C7" s="1"/>
      <c r="D7" s="1"/>
      <c r="E7" s="1"/>
    </row>
    <row r="8" spans="1:5" x14ac:dyDescent="0.25">
      <c r="A8" s="1"/>
      <c r="B8" s="108" t="s">
        <v>120</v>
      </c>
      <c r="C8" s="109"/>
      <c r="D8" s="110"/>
      <c r="E8" s="1"/>
    </row>
    <row r="9" spans="1:5" ht="15" customHeight="1" x14ac:dyDescent="0.25">
      <c r="A9" s="1"/>
      <c r="B9" s="122" t="s">
        <v>102</v>
      </c>
      <c r="C9" s="123"/>
      <c r="D9" s="124"/>
      <c r="E9" s="1"/>
    </row>
    <row r="10" spans="1:5" x14ac:dyDescent="0.25">
      <c r="A10" s="1"/>
      <c r="B10" s="68" t="s">
        <v>103</v>
      </c>
      <c r="C10" s="9">
        <v>0</v>
      </c>
      <c r="D10" s="9" t="s">
        <v>3</v>
      </c>
      <c r="E10" s="1"/>
    </row>
    <row r="11" spans="1:5" x14ac:dyDescent="0.25">
      <c r="A11" s="1"/>
      <c r="B11" s="68" t="s">
        <v>104</v>
      </c>
      <c r="C11" s="9">
        <v>0</v>
      </c>
      <c r="D11" s="9" t="s">
        <v>3</v>
      </c>
      <c r="E11" s="1"/>
    </row>
    <row r="12" spans="1:5" x14ac:dyDescent="0.25">
      <c r="A12" s="1"/>
      <c r="B12" s="68" t="s">
        <v>105</v>
      </c>
      <c r="C12" s="9">
        <v>0</v>
      </c>
      <c r="D12" s="9" t="s">
        <v>3</v>
      </c>
      <c r="E12" s="1"/>
    </row>
    <row r="13" spans="1:5" x14ac:dyDescent="0.25">
      <c r="A13" s="1"/>
      <c r="B13" s="68" t="s">
        <v>106</v>
      </c>
      <c r="C13" s="9">
        <v>0</v>
      </c>
      <c r="D13" s="9" t="s">
        <v>3</v>
      </c>
      <c r="E13" s="1"/>
    </row>
    <row r="14" spans="1:5" x14ac:dyDescent="0.25">
      <c r="A14" s="1"/>
      <c r="B14" s="68" t="s">
        <v>107</v>
      </c>
      <c r="C14" s="9">
        <v>0</v>
      </c>
      <c r="D14" s="9" t="s">
        <v>3</v>
      </c>
      <c r="E14" s="1"/>
    </row>
    <row r="15" spans="1:5" x14ac:dyDescent="0.25">
      <c r="A15" s="1"/>
      <c r="B15" s="68" t="s">
        <v>108</v>
      </c>
      <c r="C15" s="9">
        <v>0</v>
      </c>
      <c r="D15" s="9" t="s">
        <v>3</v>
      </c>
      <c r="E15" s="1"/>
    </row>
    <row r="16" spans="1:5" x14ac:dyDescent="0.25">
      <c r="A16" s="1"/>
      <c r="B16" s="68" t="s">
        <v>109</v>
      </c>
      <c r="C16" s="9">
        <v>0</v>
      </c>
      <c r="D16" s="9" t="s">
        <v>3</v>
      </c>
      <c r="E16" s="1"/>
    </row>
    <row r="17" spans="1:5" x14ac:dyDescent="0.25">
      <c r="A17" s="1"/>
      <c r="B17" s="68" t="s">
        <v>110</v>
      </c>
      <c r="C17" s="9">
        <v>0</v>
      </c>
      <c r="D17" s="9" t="s">
        <v>3</v>
      </c>
      <c r="E17" s="1"/>
    </row>
    <row r="18" spans="1:5" x14ac:dyDescent="0.25">
      <c r="A18" s="1"/>
      <c r="B18" s="75" t="s">
        <v>111</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EePGQnZOTjf0ALM/ha6wcWKQDfdPgsp952/roPaHcc+iauIxrOK7/my3k1sxGN64tmOf8nCFS/NCR/axs76mXw==" saltValue="90gNRjc+VtsPuwGyrFgpSw=="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5" zeroHeight="1" x14ac:dyDescent="0.25"/>
  <cols>
    <col min="1" max="1" width="5.28515625" style="2" customWidth="1"/>
    <col min="2" max="2" width="55.710937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7" t="s">
        <v>170</v>
      </c>
      <c r="C3" s="107"/>
      <c r="D3" s="107"/>
      <c r="E3" s="1"/>
    </row>
    <row r="4" spans="1:5" ht="15" customHeight="1" x14ac:dyDescent="0.25">
      <c r="A4" s="1"/>
      <c r="B4" s="107"/>
      <c r="C4" s="107"/>
      <c r="D4" s="107"/>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08" t="s">
        <v>171</v>
      </c>
      <c r="C8" s="109"/>
      <c r="D8" s="110"/>
      <c r="E8" s="1"/>
    </row>
    <row r="9" spans="1:5" ht="26.25" x14ac:dyDescent="0.25">
      <c r="A9" s="1"/>
      <c r="B9" s="78" t="s">
        <v>217</v>
      </c>
      <c r="C9" s="7">
        <v>0</v>
      </c>
      <c r="D9" s="8" t="s">
        <v>3</v>
      </c>
      <c r="E9" s="1"/>
    </row>
    <row r="10" spans="1:5" ht="14.25" customHeight="1" x14ac:dyDescent="0.25">
      <c r="A10" s="1"/>
      <c r="B10" s="65" t="s">
        <v>172</v>
      </c>
      <c r="C10" s="7">
        <v>0</v>
      </c>
      <c r="D10" s="8" t="s">
        <v>3</v>
      </c>
      <c r="E10" s="1"/>
    </row>
    <row r="11" spans="1:5" ht="14.25" customHeight="1" x14ac:dyDescent="0.25">
      <c r="A11" s="1"/>
      <c r="B11" s="81" t="s">
        <v>48</v>
      </c>
      <c r="C11" s="10">
        <f>C10-C9</f>
        <v>0</v>
      </c>
      <c r="D11" s="11" t="s">
        <v>3</v>
      </c>
      <c r="E11" s="1"/>
    </row>
    <row r="12" spans="1:5" ht="14.25" customHeight="1" x14ac:dyDescent="0.25">
      <c r="A12" s="1"/>
      <c r="B12" s="108" t="s">
        <v>219</v>
      </c>
      <c r="C12" s="109"/>
      <c r="D12" s="110"/>
      <c r="E12" s="1"/>
    </row>
    <row r="13" spans="1:5" ht="26.25" x14ac:dyDescent="0.25">
      <c r="A13" s="1"/>
      <c r="B13" s="78" t="s">
        <v>218</v>
      </c>
      <c r="C13" s="7">
        <v>0</v>
      </c>
      <c r="D13" s="8" t="s">
        <v>3</v>
      </c>
      <c r="E13" s="1"/>
    </row>
    <row r="14" spans="1:5" ht="14.25" customHeight="1" x14ac:dyDescent="0.25">
      <c r="A14" s="1"/>
      <c r="B14" s="65" t="s">
        <v>173</v>
      </c>
      <c r="C14" s="7">
        <v>0</v>
      </c>
      <c r="D14" s="8" t="s">
        <v>3</v>
      </c>
      <c r="E14" s="1"/>
    </row>
    <row r="15" spans="1:5" ht="14.25" customHeight="1" x14ac:dyDescent="0.25">
      <c r="A15" s="1"/>
      <c r="B15" s="81" t="s">
        <v>48</v>
      </c>
      <c r="C15" s="10">
        <f>C14-C13</f>
        <v>0</v>
      </c>
      <c r="D15" s="11" t="s">
        <v>3</v>
      </c>
      <c r="E15" s="1"/>
    </row>
    <row r="16" spans="1:5" ht="14.25" customHeight="1" x14ac:dyDescent="0.25">
      <c r="A16" s="1"/>
      <c r="B16" s="33" t="s">
        <v>174</v>
      </c>
      <c r="C16" s="12">
        <f>C11+C15</f>
        <v>0</v>
      </c>
      <c r="D16" s="13"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mD5xIdMxMhOe2hEUxqoCwlYA3ONk6aWgYADB1SDtQnou6759PC4FhuZUTNjnLDrcJQQL+wHZ21Meg2kRWMkZpg==" saltValue="G99Qg2AD1WhRMUUw8dquuQ=="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4" t="s">
        <v>113</v>
      </c>
      <c r="C3" s="104"/>
      <c r="D3" s="104"/>
      <c r="E3" s="104"/>
      <c r="F3" s="104"/>
      <c r="G3" s="104"/>
      <c r="H3" s="104"/>
      <c r="I3" s="104"/>
      <c r="J3" s="104"/>
      <c r="K3" s="104"/>
      <c r="L3" s="1"/>
    </row>
    <row r="4" spans="1:12" ht="15" customHeight="1" x14ac:dyDescent="0.25">
      <c r="A4" s="1"/>
      <c r="B4" s="104"/>
      <c r="C4" s="104"/>
      <c r="D4" s="104"/>
      <c r="E4" s="104"/>
      <c r="F4" s="104"/>
      <c r="G4" s="104"/>
      <c r="H4" s="104"/>
      <c r="I4" s="104"/>
      <c r="J4" s="104"/>
      <c r="K4" s="10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8" t="s">
        <v>86</v>
      </c>
      <c r="C8" s="109"/>
      <c r="D8" s="109"/>
      <c r="E8" s="109"/>
      <c r="F8" s="109"/>
      <c r="G8" s="109"/>
      <c r="H8" s="109"/>
      <c r="I8" s="109"/>
      <c r="J8" s="109"/>
      <c r="K8" s="110"/>
      <c r="L8" s="1"/>
    </row>
    <row r="9" spans="1:12" ht="39.75" customHeight="1" x14ac:dyDescent="0.25">
      <c r="A9" s="1"/>
      <c r="B9" s="18" t="s">
        <v>0</v>
      </c>
      <c r="C9" s="18" t="s">
        <v>1</v>
      </c>
      <c r="D9" s="125" t="s">
        <v>96</v>
      </c>
      <c r="E9" s="126"/>
      <c r="F9" s="125" t="s">
        <v>2</v>
      </c>
      <c r="G9" s="126"/>
      <c r="H9" s="125" t="s">
        <v>95</v>
      </c>
      <c r="I9" s="126"/>
      <c r="J9" s="125" t="s">
        <v>26</v>
      </c>
      <c r="K9" s="126"/>
      <c r="L9" s="1"/>
    </row>
    <row r="10" spans="1:12" x14ac:dyDescent="0.25">
      <c r="A10" s="1"/>
      <c r="B10" s="68" t="s">
        <v>224</v>
      </c>
      <c r="C10" s="42">
        <v>0</v>
      </c>
      <c r="D10" s="9">
        <v>0</v>
      </c>
      <c r="E10" s="14" t="s">
        <v>3</v>
      </c>
      <c r="F10" s="9">
        <f>IFERROR(D10/C10,0)</f>
        <v>0</v>
      </c>
      <c r="G10" s="14" t="s">
        <v>3</v>
      </c>
      <c r="H10" s="38">
        <v>0</v>
      </c>
      <c r="I10" s="14" t="s">
        <v>3</v>
      </c>
      <c r="J10" s="38">
        <v>0</v>
      </c>
      <c r="K10" s="14" t="s">
        <v>3</v>
      </c>
      <c r="L10" s="1"/>
    </row>
    <row r="11" spans="1:12" x14ac:dyDescent="0.25">
      <c r="A11" s="1"/>
      <c r="B11" s="75" t="s">
        <v>221</v>
      </c>
      <c r="C11" s="76"/>
      <c r="D11" s="77"/>
      <c r="E11" s="77"/>
      <c r="F11" s="12">
        <f>SUM(F10:F10)</f>
        <v>0</v>
      </c>
      <c r="G11" s="12" t="s">
        <v>94</v>
      </c>
      <c r="H11" s="12">
        <f>SUM(H10:H10)</f>
        <v>0</v>
      </c>
      <c r="I11" s="12" t="s">
        <v>94</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4"/>
      <c r="B47" s="44"/>
      <c r="C47" s="44"/>
      <c r="D47" s="44"/>
      <c r="E47" s="44"/>
      <c r="F47" s="44"/>
      <c r="G47" s="44"/>
      <c r="H47" s="44"/>
      <c r="I47" s="44"/>
      <c r="J47" s="44"/>
      <c r="K47" s="44"/>
      <c r="L47" s="44"/>
    </row>
    <row r="48" spans="1:12" hidden="1" x14ac:dyDescent="0.25">
      <c r="A48" s="44"/>
      <c r="B48" s="44"/>
      <c r="C48" s="44"/>
      <c r="D48" s="44"/>
      <c r="E48" s="44"/>
      <c r="F48" s="44"/>
      <c r="G48" s="44"/>
      <c r="H48" s="44"/>
      <c r="I48" s="44"/>
      <c r="J48" s="44"/>
      <c r="K48" s="44"/>
      <c r="L48" s="44"/>
    </row>
    <row r="49" hidden="1" x14ac:dyDescent="0.25"/>
    <row r="50" hidden="1" x14ac:dyDescent="0.25"/>
    <row r="51" hidden="1" x14ac:dyDescent="0.25"/>
    <row r="52" hidden="1" x14ac:dyDescent="0.25"/>
  </sheetData>
  <sheetProtection algorithmName="SHA-512" hashValue="qwu7pyKf8mLLnizntND4j53BBsuQEPzBFW6HSjQiBNMLcwnkqtrQkhVibUaWBaD02bkWYqMd1Tn/rZp5NZrQUg==" saltValue="S/FxA1B9tu2pcQ3NvfIjYA=="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114</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37</v>
      </c>
      <c r="C8" s="28"/>
      <c r="D8" s="28"/>
      <c r="E8" s="28"/>
      <c r="F8" s="19"/>
      <c r="G8" s="1"/>
    </row>
    <row r="9" spans="1:7" ht="17.25" customHeight="1" x14ac:dyDescent="0.25">
      <c r="A9" s="1"/>
      <c r="B9" s="79" t="s">
        <v>17</v>
      </c>
      <c r="C9" s="81" t="s">
        <v>11</v>
      </c>
      <c r="D9" s="80"/>
      <c r="E9" s="81" t="s">
        <v>27</v>
      </c>
      <c r="F9" s="32"/>
      <c r="G9" s="1"/>
    </row>
    <row r="10" spans="1:7" x14ac:dyDescent="0.25">
      <c r="A10" s="1"/>
      <c r="B10" s="24" t="s">
        <v>87</v>
      </c>
      <c r="C10" s="21">
        <f>'Fane 10. Anlægsprojekter (§ 19)'!H11</f>
        <v>0</v>
      </c>
      <c r="D10" s="14" t="s">
        <v>3</v>
      </c>
      <c r="E10" s="9">
        <f>'Fane 10. Anlægsprojekter (§ 19)'!F11+'Fane 10. Anlægsprojekter (§ 19)'!J11</f>
        <v>0</v>
      </c>
      <c r="F10" s="14" t="s">
        <v>3</v>
      </c>
      <c r="G10" s="1"/>
    </row>
    <row r="11" spans="1:7" x14ac:dyDescent="0.25">
      <c r="A11" s="1"/>
      <c r="B11" s="24" t="s">
        <v>225</v>
      </c>
      <c r="C11" s="21">
        <v>300393</v>
      </c>
      <c r="D11" s="14" t="s">
        <v>3</v>
      </c>
      <c r="E11" s="9">
        <v>58739</v>
      </c>
      <c r="F11" s="14" t="s">
        <v>3</v>
      </c>
      <c r="G11" s="1"/>
    </row>
    <row r="12" spans="1:7" x14ac:dyDescent="0.25">
      <c r="A12" s="1"/>
      <c r="B12" s="24"/>
      <c r="C12" s="21"/>
      <c r="D12" s="14" t="s">
        <v>3</v>
      </c>
      <c r="E12" s="9"/>
      <c r="F12" s="14" t="s">
        <v>3</v>
      </c>
      <c r="G12" s="1"/>
    </row>
    <row r="13" spans="1:7" x14ac:dyDescent="0.25">
      <c r="A13" s="1"/>
      <c r="B13" s="24"/>
      <c r="C13" s="21"/>
      <c r="D13" s="14" t="s">
        <v>3</v>
      </c>
      <c r="E13" s="9"/>
      <c r="F13" s="14" t="s">
        <v>3</v>
      </c>
      <c r="G13" s="1"/>
    </row>
    <row r="14" spans="1:7" x14ac:dyDescent="0.25">
      <c r="A14" s="1"/>
      <c r="B14" s="24"/>
      <c r="C14" s="21"/>
      <c r="D14" s="14" t="s">
        <v>3</v>
      </c>
      <c r="E14" s="9"/>
      <c r="F14" s="14" t="s">
        <v>3</v>
      </c>
      <c r="G14" s="1"/>
    </row>
    <row r="15" spans="1:7" x14ac:dyDescent="0.25">
      <c r="A15" s="1"/>
      <c r="B15" s="24"/>
      <c r="C15" s="21"/>
      <c r="D15" s="14" t="s">
        <v>3</v>
      </c>
      <c r="E15" s="9"/>
      <c r="F15" s="14" t="s">
        <v>3</v>
      </c>
      <c r="G15" s="1"/>
    </row>
    <row r="16" spans="1:7" x14ac:dyDescent="0.25">
      <c r="A16" s="1"/>
      <c r="B16" s="24"/>
      <c r="C16" s="21"/>
      <c r="D16" s="14" t="s">
        <v>3</v>
      </c>
      <c r="E16" s="9"/>
      <c r="F16" s="14" t="s">
        <v>3</v>
      </c>
      <c r="G16" s="1"/>
    </row>
    <row r="17" spans="1:7" x14ac:dyDescent="0.25">
      <c r="A17" s="1"/>
      <c r="B17" s="24"/>
      <c r="C17" s="21"/>
      <c r="D17" s="14" t="s">
        <v>3</v>
      </c>
      <c r="E17" s="9"/>
      <c r="F17" s="14" t="s">
        <v>3</v>
      </c>
      <c r="G17" s="1"/>
    </row>
    <row r="18" spans="1:7" x14ac:dyDescent="0.25">
      <c r="A18" s="1"/>
      <c r="B18" s="24"/>
      <c r="C18" s="21"/>
      <c r="D18" s="14" t="s">
        <v>3</v>
      </c>
      <c r="E18" s="9"/>
      <c r="F18" s="14" t="s">
        <v>3</v>
      </c>
      <c r="G18" s="1"/>
    </row>
    <row r="19" spans="1:7" x14ac:dyDescent="0.25">
      <c r="A19" s="1"/>
      <c r="B19" s="33" t="s">
        <v>139</v>
      </c>
      <c r="C19" s="12">
        <f>SUM(C10:C18)</f>
        <v>300393</v>
      </c>
      <c r="D19" s="13" t="s">
        <v>3</v>
      </c>
      <c r="E19" s="12">
        <f>SUM(E10:E18)</f>
        <v>58739</v>
      </c>
      <c r="F19" s="13" t="s">
        <v>3</v>
      </c>
      <c r="G19" s="1"/>
    </row>
    <row r="20" spans="1:7" x14ac:dyDescent="0.25">
      <c r="A20" s="1"/>
      <c r="B20" s="33" t="s">
        <v>175</v>
      </c>
      <c r="C20" s="12">
        <f>C19*(1+'Fane 15. Nøgletal'!C10)</f>
        <v>320309.05590000004</v>
      </c>
      <c r="D20" s="13" t="s">
        <v>3</v>
      </c>
      <c r="E20" s="12">
        <f>E19*(1+'Fane 15. Nøgletal'!C10)</f>
        <v>62633.395700000001</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vC4hI4Jx937UzuHfQMzKF0moYfe3It4UFzTf8E5rMywLlMXBDvwXe5xIbNkXsP57cjfQf/Kwx0oafagNVB4sgA==" saltValue="Pwu1fiuLcOD8mKdT9mFP6Q=="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42578125" style="2" bestFit="1"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115</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8" t="s">
        <v>176</v>
      </c>
      <c r="C8" s="109"/>
      <c r="D8" s="109"/>
      <c r="E8" s="109"/>
      <c r="F8" s="110"/>
      <c r="G8" s="1"/>
    </row>
    <row r="9" spans="1:7" x14ac:dyDescent="0.25">
      <c r="A9" s="1"/>
      <c r="B9" s="79" t="s">
        <v>17</v>
      </c>
      <c r="C9" s="81" t="s">
        <v>11</v>
      </c>
      <c r="D9" s="80"/>
      <c r="E9" s="81" t="s">
        <v>27</v>
      </c>
      <c r="F9" s="32"/>
      <c r="G9" s="1"/>
    </row>
    <row r="10" spans="1:7" x14ac:dyDescent="0.25">
      <c r="A10" s="1"/>
      <c r="B10" s="24" t="s">
        <v>226</v>
      </c>
      <c r="C10" s="21"/>
      <c r="D10" s="14" t="s">
        <v>3</v>
      </c>
      <c r="E10" s="9"/>
      <c r="F10" s="14" t="s">
        <v>3</v>
      </c>
      <c r="G10" s="1"/>
    </row>
    <row r="11" spans="1:7" x14ac:dyDescent="0.25">
      <c r="A11" s="1"/>
      <c r="B11" s="24"/>
      <c r="C11" s="21"/>
      <c r="D11" s="14" t="s">
        <v>3</v>
      </c>
      <c r="E11" s="9"/>
      <c r="F11" s="14" t="s">
        <v>3</v>
      </c>
      <c r="G11" s="1"/>
    </row>
    <row r="12" spans="1:7" x14ac:dyDescent="0.25">
      <c r="A12" s="1"/>
      <c r="B12" s="24"/>
      <c r="C12" s="21"/>
      <c r="D12" s="14" t="s">
        <v>3</v>
      </c>
      <c r="E12" s="9"/>
      <c r="F12" s="14" t="s">
        <v>3</v>
      </c>
      <c r="G12" s="1"/>
    </row>
    <row r="13" spans="1:7" x14ac:dyDescent="0.25">
      <c r="A13" s="1"/>
      <c r="B13" s="33" t="s">
        <v>177</v>
      </c>
      <c r="C13" s="12">
        <f>SUM(C10:C12)</f>
        <v>0</v>
      </c>
      <c r="D13" s="13" t="s">
        <v>3</v>
      </c>
      <c r="E13" s="12">
        <f>SUM(E10:E12)</f>
        <v>0</v>
      </c>
      <c r="F13" s="13" t="s">
        <v>3</v>
      </c>
      <c r="G13" s="1"/>
    </row>
    <row r="14" spans="1:7" x14ac:dyDescent="0.25">
      <c r="A14" s="1"/>
      <c r="B14" s="33" t="s">
        <v>178</v>
      </c>
      <c r="C14" s="12">
        <f>C13*(1+'Fane 15. Nøgletal'!C10)^2</f>
        <v>0</v>
      </c>
      <c r="D14" s="13" t="s">
        <v>3</v>
      </c>
      <c r="E14" s="12">
        <f>E13*(1+'Fane 15. Nøgletal'!C10)^2</f>
        <v>0</v>
      </c>
      <c r="F14" s="13" t="s">
        <v>3</v>
      </c>
      <c r="G14" s="1"/>
    </row>
    <row r="15" spans="1:7" x14ac:dyDescent="0.25">
      <c r="A15" s="1"/>
      <c r="B15" s="1"/>
      <c r="C15" s="1"/>
      <c r="D15" s="1"/>
      <c r="E15" s="1"/>
      <c r="F15" s="1"/>
      <c r="G15" s="1"/>
    </row>
    <row r="16" spans="1:7" x14ac:dyDescent="0.25">
      <c r="A16" s="1"/>
      <c r="B16" s="127"/>
      <c r="C16" s="127"/>
      <c r="D16" s="127"/>
      <c r="E16" s="127"/>
      <c r="F16" s="127"/>
      <c r="G16" s="1"/>
    </row>
    <row r="17" spans="1:7" x14ac:dyDescent="0.25">
      <c r="A17" s="1"/>
      <c r="B17" s="47"/>
      <c r="C17" s="47"/>
      <c r="D17" s="47"/>
      <c r="E17" s="47"/>
      <c r="F17" s="48"/>
      <c r="G17" s="1"/>
    </row>
    <row r="18" spans="1:7" x14ac:dyDescent="0.25">
      <c r="A18" s="1"/>
      <c r="B18" s="49"/>
      <c r="C18" s="50"/>
      <c r="D18" s="51"/>
      <c r="E18" s="52"/>
      <c r="F18" s="51"/>
      <c r="G18" s="1"/>
    </row>
    <row r="19" spans="1:7" x14ac:dyDescent="0.25">
      <c r="A19" s="1"/>
      <c r="B19" s="49"/>
      <c r="C19" s="50"/>
      <c r="D19" s="51"/>
      <c r="E19" s="52"/>
      <c r="F19" s="51"/>
      <c r="G19" s="1"/>
    </row>
    <row r="20" spans="1:7" x14ac:dyDescent="0.25">
      <c r="A20" s="1"/>
      <c r="B20" s="53"/>
      <c r="C20" s="54"/>
      <c r="D20" s="55"/>
      <c r="E20" s="54"/>
      <c r="F20" s="55"/>
      <c r="G20" s="1"/>
    </row>
    <row r="21" spans="1:7" x14ac:dyDescent="0.25">
      <c r="A21" s="1"/>
      <c r="B21" s="53"/>
      <c r="C21" s="54"/>
      <c r="D21" s="55"/>
      <c r="E21" s="54"/>
      <c r="F21" s="55"/>
      <c r="G21" s="1"/>
    </row>
    <row r="22" spans="1:7" x14ac:dyDescent="0.25">
      <c r="A22" s="1"/>
      <c r="B22" s="46"/>
      <c r="C22" s="46"/>
      <c r="D22" s="46"/>
      <c r="E22" s="46"/>
      <c r="F22" s="46"/>
      <c r="G22" s="1"/>
    </row>
    <row r="23" spans="1:7" x14ac:dyDescent="0.25">
      <c r="A23" s="1"/>
      <c r="B23" s="47"/>
      <c r="C23" s="47"/>
      <c r="D23" s="47"/>
      <c r="E23" s="47"/>
      <c r="F23" s="48"/>
      <c r="G23" s="1"/>
    </row>
    <row r="24" spans="1:7" x14ac:dyDescent="0.25">
      <c r="A24" s="1"/>
      <c r="B24" s="49"/>
      <c r="C24" s="50"/>
      <c r="D24" s="51"/>
      <c r="E24" s="52"/>
      <c r="F24" s="51"/>
      <c r="G24" s="1"/>
    </row>
    <row r="25" spans="1:7" x14ac:dyDescent="0.25">
      <c r="A25" s="1"/>
      <c r="B25" s="49"/>
      <c r="C25" s="50"/>
      <c r="D25" s="51"/>
      <c r="E25" s="52"/>
      <c r="F25" s="51"/>
      <c r="G25" s="1"/>
    </row>
    <row r="26" spans="1:7" x14ac:dyDescent="0.25">
      <c r="A26" s="1"/>
      <c r="B26" s="53"/>
      <c r="C26" s="54"/>
      <c r="D26" s="55"/>
      <c r="E26" s="54"/>
      <c r="F26" s="55"/>
      <c r="G26" s="1"/>
    </row>
    <row r="27" spans="1:7" x14ac:dyDescent="0.25">
      <c r="A27" s="1"/>
      <c r="B27" s="53"/>
      <c r="C27" s="54"/>
      <c r="D27" s="55"/>
      <c r="E27" s="54"/>
      <c r="F27" s="55"/>
      <c r="G27" s="1"/>
    </row>
    <row r="28" spans="1:7" x14ac:dyDescent="0.25">
      <c r="A28" s="1"/>
      <c r="B28" s="46"/>
      <c r="C28" s="46"/>
      <c r="D28" s="46"/>
      <c r="E28" s="46"/>
      <c r="F28" s="46"/>
      <c r="G28" s="1"/>
    </row>
    <row r="29" spans="1:7" x14ac:dyDescent="0.25">
      <c r="A29" s="1"/>
      <c r="B29" s="127"/>
      <c r="C29" s="127"/>
      <c r="D29" s="127"/>
      <c r="E29" s="127"/>
      <c r="F29" s="127"/>
      <c r="G29" s="1"/>
    </row>
    <row r="30" spans="1:7" x14ac:dyDescent="0.25">
      <c r="A30" s="1"/>
      <c r="B30" s="47"/>
      <c r="C30" s="47"/>
      <c r="D30" s="47"/>
      <c r="E30" s="47"/>
      <c r="F30" s="48"/>
      <c r="G30" s="1"/>
    </row>
    <row r="31" spans="1:7" x14ac:dyDescent="0.25">
      <c r="A31" s="1"/>
      <c r="B31" s="49"/>
      <c r="C31" s="50"/>
      <c r="D31" s="51"/>
      <c r="E31" s="52"/>
      <c r="F31" s="51"/>
      <c r="G31" s="1"/>
    </row>
    <row r="32" spans="1:7" x14ac:dyDescent="0.25">
      <c r="A32" s="1"/>
      <c r="B32" s="49"/>
      <c r="C32" s="50"/>
      <c r="D32" s="51"/>
      <c r="E32" s="52"/>
      <c r="F32" s="51"/>
      <c r="G32" s="1"/>
    </row>
    <row r="33" spans="1:7" x14ac:dyDescent="0.25">
      <c r="A33" s="1"/>
      <c r="B33" s="53"/>
      <c r="C33" s="54"/>
      <c r="D33" s="55"/>
      <c r="E33" s="54"/>
      <c r="F33" s="55"/>
      <c r="G33" s="1"/>
    </row>
    <row r="34" spans="1:7" x14ac:dyDescent="0.25">
      <c r="A34" s="1"/>
      <c r="B34" s="53"/>
      <c r="C34" s="54"/>
      <c r="D34" s="55"/>
      <c r="E34" s="54"/>
      <c r="F34" s="55"/>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9m0RanfZwKaTqk6tvoxfPYLZZVX3Yy9qqsdkKMYtX4Cc20ExNPQBe7CDBIIsscfuKj2XCNjuqkbCCpCygbv4UA==" saltValue="lD8lf69/Hzoh9+SbvGwSFg==" spinCount="100000" sheet="1" objects="1" scenarios="1"/>
  <mergeCells count="4">
    <mergeCell ref="B29:F29"/>
    <mergeCell ref="B3:F4"/>
    <mergeCell ref="B8:F8"/>
    <mergeCell ref="B16:F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7" t="s">
        <v>116</v>
      </c>
      <c r="C3" s="107"/>
      <c r="D3" s="107"/>
      <c r="E3" s="1"/>
    </row>
    <row r="4" spans="1:5" ht="15" customHeight="1" x14ac:dyDescent="0.25">
      <c r="A4" s="1"/>
      <c r="B4" s="107"/>
      <c r="C4" s="107"/>
      <c r="D4" s="107"/>
      <c r="E4" s="1"/>
    </row>
    <row r="5" spans="1:5" x14ac:dyDescent="0.25">
      <c r="A5" s="1"/>
      <c r="B5" s="107"/>
      <c r="C5" s="107"/>
      <c r="D5" s="107"/>
      <c r="E5" s="1"/>
    </row>
    <row r="6" spans="1:5" x14ac:dyDescent="0.25">
      <c r="A6" s="1"/>
      <c r="B6" s="1"/>
      <c r="C6" s="1"/>
      <c r="D6" s="1"/>
      <c r="E6" s="1"/>
    </row>
    <row r="7" spans="1:5" x14ac:dyDescent="0.25">
      <c r="A7" s="1"/>
      <c r="B7" s="1"/>
      <c r="C7" s="1"/>
      <c r="D7" s="1"/>
      <c r="E7" s="1"/>
    </row>
    <row r="8" spans="1:5" ht="14.25" customHeight="1" x14ac:dyDescent="0.25">
      <c r="A8" s="1"/>
      <c r="B8" s="108" t="s">
        <v>73</v>
      </c>
      <c r="C8" s="109"/>
      <c r="D8" s="110"/>
      <c r="E8" s="1"/>
    </row>
    <row r="9" spans="1:5" x14ac:dyDescent="0.25">
      <c r="A9" s="1"/>
      <c r="B9" s="68" t="s">
        <v>179</v>
      </c>
      <c r="C9" s="9">
        <v>0</v>
      </c>
      <c r="D9" s="14" t="s">
        <v>3</v>
      </c>
      <c r="E9" s="1"/>
    </row>
    <row r="10" spans="1:5" x14ac:dyDescent="0.25">
      <c r="A10" s="1"/>
      <c r="B10" s="64" t="s">
        <v>10</v>
      </c>
      <c r="C10" s="9">
        <f>-C9*'Fane 5. Individuelt eff. krav'!C9</f>
        <v>0</v>
      </c>
      <c r="D10" s="14" t="s">
        <v>3</v>
      </c>
      <c r="E10" s="1"/>
    </row>
    <row r="11" spans="1:5" x14ac:dyDescent="0.25">
      <c r="A11" s="1"/>
      <c r="B11" s="64" t="s">
        <v>22</v>
      </c>
      <c r="C11" s="9">
        <f>-C9*'Fane 15. Nøgletal'!C21</f>
        <v>0</v>
      </c>
      <c r="D11" s="14" t="s">
        <v>3</v>
      </c>
      <c r="E11" s="1"/>
    </row>
    <row r="12" spans="1:5" x14ac:dyDescent="0.25">
      <c r="A12" s="1"/>
      <c r="B12" s="75" t="s">
        <v>74</v>
      </c>
      <c r="C12" s="12">
        <f>SUM(C9:C11)*(1+'Fane 15. Nøgletal'!C9)^2</f>
        <v>0</v>
      </c>
      <c r="D12" s="13" t="s">
        <v>3</v>
      </c>
      <c r="E12" s="1"/>
    </row>
    <row r="13" spans="1:5" x14ac:dyDescent="0.25">
      <c r="A13" s="1"/>
      <c r="B13" s="1"/>
      <c r="C13" s="1"/>
      <c r="D13" s="1"/>
      <c r="E13" s="1"/>
    </row>
    <row r="14" spans="1:5" ht="15" customHeight="1" x14ac:dyDescent="0.25">
      <c r="A14" s="1"/>
      <c r="B14" s="108" t="s">
        <v>84</v>
      </c>
      <c r="C14" s="109"/>
      <c r="D14" s="110"/>
      <c r="E14" s="1"/>
    </row>
    <row r="15" spans="1:5" x14ac:dyDescent="0.25">
      <c r="A15" s="1"/>
      <c r="B15" s="68" t="s">
        <v>179</v>
      </c>
      <c r="C15" s="9">
        <v>0</v>
      </c>
      <c r="D15" s="14" t="s">
        <v>3</v>
      </c>
      <c r="E15" s="1"/>
    </row>
    <row r="16" spans="1:5" x14ac:dyDescent="0.25">
      <c r="A16" s="1"/>
      <c r="B16" s="64" t="s">
        <v>10</v>
      </c>
      <c r="C16" s="9">
        <f>-C15*'Fane 5. Individuelt eff. krav'!C9</f>
        <v>0</v>
      </c>
      <c r="D16" s="14" t="s">
        <v>3</v>
      </c>
      <c r="E16" s="1"/>
    </row>
    <row r="17" spans="1:5" x14ac:dyDescent="0.25">
      <c r="A17" s="1"/>
      <c r="B17" s="64" t="s">
        <v>22</v>
      </c>
      <c r="C17" s="9">
        <f>-C15*'Fane 15. Nøgletal'!C21</f>
        <v>0</v>
      </c>
      <c r="D17" s="14" t="s">
        <v>3</v>
      </c>
      <c r="E17" s="1"/>
    </row>
    <row r="18" spans="1:5" x14ac:dyDescent="0.25">
      <c r="A18" s="1"/>
      <c r="B18" s="75" t="s">
        <v>85</v>
      </c>
      <c r="C18" s="12">
        <f>SUM(C15:C17)*(1+'Fane 15. Nøgletal'!C10)^3</f>
        <v>0</v>
      </c>
      <c r="D18" s="13" t="s">
        <v>3</v>
      </c>
      <c r="E18" s="1"/>
    </row>
    <row r="19" spans="1:5" x14ac:dyDescent="0.25">
      <c r="A19" s="1"/>
      <c r="B19" s="1"/>
      <c r="C19" s="1"/>
      <c r="D19" s="1"/>
      <c r="E19" s="1"/>
    </row>
    <row r="20" spans="1:5" ht="15" customHeight="1" x14ac:dyDescent="0.25">
      <c r="A20" s="1"/>
      <c r="B20" s="108" t="s">
        <v>140</v>
      </c>
      <c r="C20" s="109"/>
      <c r="D20" s="110"/>
      <c r="E20" s="1"/>
    </row>
    <row r="21" spans="1:5" x14ac:dyDescent="0.25">
      <c r="A21" s="1"/>
      <c r="B21" s="68" t="s">
        <v>179</v>
      </c>
      <c r="C21" s="9">
        <v>0</v>
      </c>
      <c r="D21" s="14" t="s">
        <v>3</v>
      </c>
      <c r="E21" s="1"/>
    </row>
    <row r="22" spans="1:5" x14ac:dyDescent="0.25">
      <c r="A22" s="1"/>
      <c r="B22" s="64" t="s">
        <v>10</v>
      </c>
      <c r="C22" s="9">
        <f>-C21*'Fane 5. Individuelt eff. krav'!C9</f>
        <v>0</v>
      </c>
      <c r="D22" s="14" t="s">
        <v>3</v>
      </c>
      <c r="E22" s="1"/>
    </row>
    <row r="23" spans="1:5" x14ac:dyDescent="0.25">
      <c r="A23" s="1"/>
      <c r="B23" s="64" t="s">
        <v>22</v>
      </c>
      <c r="C23" s="9">
        <f>-C21*'Fane 15. Nøgletal'!C21</f>
        <v>0</v>
      </c>
      <c r="D23" s="14" t="s">
        <v>3</v>
      </c>
      <c r="E23" s="1"/>
    </row>
    <row r="24" spans="1:5" x14ac:dyDescent="0.25">
      <c r="A24" s="1"/>
      <c r="B24" s="75" t="s">
        <v>141</v>
      </c>
      <c r="C24" s="12">
        <f>SUM(C21:C23)*(1+'Fane 15. Nøgletal'!C10)^4</f>
        <v>0</v>
      </c>
      <c r="D24" s="13" t="s">
        <v>3</v>
      </c>
      <c r="E24" s="1"/>
    </row>
    <row r="25" spans="1:5" x14ac:dyDescent="0.25">
      <c r="A25" s="1"/>
      <c r="B25" s="1"/>
      <c r="C25" s="1"/>
      <c r="D25" s="1"/>
      <c r="E25" s="1"/>
    </row>
    <row r="26" spans="1:5" ht="15" customHeight="1" x14ac:dyDescent="0.25">
      <c r="A26" s="1"/>
      <c r="B26" s="108" t="s">
        <v>180</v>
      </c>
      <c r="C26" s="109"/>
      <c r="D26" s="110"/>
      <c r="E26" s="1"/>
    </row>
    <row r="27" spans="1:5" ht="14.25" customHeight="1" x14ac:dyDescent="0.25">
      <c r="A27" s="1"/>
      <c r="B27" s="68" t="s">
        <v>179</v>
      </c>
      <c r="C27" s="9">
        <v>0</v>
      </c>
      <c r="D27" s="14" t="s">
        <v>3</v>
      </c>
      <c r="E27" s="1"/>
    </row>
    <row r="28" spans="1:5" x14ac:dyDescent="0.25">
      <c r="A28" s="1"/>
      <c r="B28" s="64" t="s">
        <v>10</v>
      </c>
      <c r="C28" s="9">
        <f>-C27*'Fane 5. Individuelt eff. krav'!C9</f>
        <v>0</v>
      </c>
      <c r="D28" s="14" t="s">
        <v>3</v>
      </c>
      <c r="E28" s="1"/>
    </row>
    <row r="29" spans="1:5" x14ac:dyDescent="0.25">
      <c r="A29" s="1"/>
      <c r="B29" s="64" t="s">
        <v>22</v>
      </c>
      <c r="C29" s="9">
        <f>-C27*'Fane 15. Nøgletal'!C21</f>
        <v>0</v>
      </c>
      <c r="D29" s="14" t="s">
        <v>3</v>
      </c>
      <c r="E29" s="1"/>
    </row>
    <row r="30" spans="1:5" x14ac:dyDescent="0.25">
      <c r="A30" s="1"/>
      <c r="B30" s="75" t="s">
        <v>181</v>
      </c>
      <c r="C30" s="12">
        <f>SUM(C27:C29)*(1+'Fane 15. Nøgletal'!C10)^5</f>
        <v>0</v>
      </c>
      <c r="D30" s="13" t="s">
        <v>3</v>
      </c>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w2ny4MRLYTmO04g+mJnk7NBFow7UbAhS68ABUeVom5j58f4rPMlY7RBwbtHbIQYUEFbDIDyjOx7beAEmzdOSrA==" saltValue="Ab7Z9LxzMGrvItOZIxH5EA=="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7" t="s">
        <v>117</v>
      </c>
      <c r="C3" s="107"/>
      <c r="D3" s="107"/>
      <c r="E3" s="107"/>
      <c r="F3" s="107"/>
      <c r="G3" s="1"/>
    </row>
    <row r="4" spans="1:7" ht="15" customHeight="1" x14ac:dyDescent="0.25">
      <c r="A4" s="1"/>
      <c r="B4" s="107"/>
      <c r="C4" s="107"/>
      <c r="D4" s="107"/>
      <c r="E4" s="107"/>
      <c r="F4" s="107"/>
      <c r="G4" s="1"/>
    </row>
    <row r="5" spans="1:7" x14ac:dyDescent="0.25">
      <c r="A5" s="1"/>
      <c r="B5" s="107"/>
      <c r="C5" s="107"/>
      <c r="D5" s="107"/>
      <c r="E5" s="107"/>
      <c r="F5" s="107"/>
      <c r="G5" s="1"/>
    </row>
    <row r="6" spans="1:7" x14ac:dyDescent="0.25">
      <c r="A6" s="1"/>
      <c r="B6" s="1"/>
      <c r="C6" s="1"/>
      <c r="D6" s="1"/>
      <c r="E6" s="1"/>
      <c r="F6" s="1"/>
      <c r="G6" s="1"/>
    </row>
    <row r="7" spans="1:7" x14ac:dyDescent="0.25">
      <c r="A7" s="1"/>
      <c r="B7" s="1"/>
      <c r="C7" s="1"/>
      <c r="D7" s="1"/>
      <c r="E7" s="1"/>
      <c r="F7" s="1"/>
      <c r="G7" s="1"/>
    </row>
    <row r="8" spans="1:7" x14ac:dyDescent="0.25">
      <c r="A8" s="1"/>
      <c r="B8" s="108" t="s">
        <v>66</v>
      </c>
      <c r="C8" s="109"/>
      <c r="D8" s="109"/>
      <c r="E8" s="109"/>
      <c r="F8" s="110"/>
      <c r="G8" s="1"/>
    </row>
    <row r="9" spans="1:7" ht="15" customHeight="1" x14ac:dyDescent="0.25">
      <c r="A9" s="1"/>
      <c r="B9" s="31" t="s">
        <v>67</v>
      </c>
      <c r="C9" s="27" t="s">
        <v>11</v>
      </c>
      <c r="D9" s="32"/>
      <c r="E9" s="27" t="s">
        <v>27</v>
      </c>
      <c r="F9" s="32"/>
      <c r="G9" s="1"/>
    </row>
    <row r="10" spans="1:7" ht="26.25" x14ac:dyDescent="0.25">
      <c r="A10" s="1"/>
      <c r="B10" s="70" t="s">
        <v>222</v>
      </c>
      <c r="C10" s="9">
        <v>0</v>
      </c>
      <c r="D10" s="14" t="s">
        <v>3</v>
      </c>
      <c r="E10" s="9">
        <v>0</v>
      </c>
      <c r="F10" s="14" t="s">
        <v>3</v>
      </c>
      <c r="G10" s="1"/>
    </row>
    <row r="11" spans="1:7" ht="28.5" customHeight="1" x14ac:dyDescent="0.25">
      <c r="A11" s="1"/>
      <c r="B11" s="20" t="s">
        <v>142</v>
      </c>
      <c r="C11" s="12">
        <f>SUM(C10:C10)</f>
        <v>0</v>
      </c>
      <c r="D11" s="13" t="s">
        <v>3</v>
      </c>
      <c r="E11" s="12">
        <f>SUM(E10:E10)</f>
        <v>0</v>
      </c>
      <c r="F11" s="13" t="s">
        <v>3</v>
      </c>
      <c r="G11" s="1"/>
    </row>
    <row r="12" spans="1:7" ht="27" customHeight="1" x14ac:dyDescent="0.25">
      <c r="A12" s="1"/>
      <c r="B12" s="20" t="s">
        <v>182</v>
      </c>
      <c r="C12" s="12">
        <f>C11*(1+'Fane 15. Nøgletal'!C10)</f>
        <v>0</v>
      </c>
      <c r="D12" s="13" t="s">
        <v>3</v>
      </c>
      <c r="E12" s="12">
        <f>E11*(1+'Fane 15. Nøgletal'!C10)</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hidden="1" x14ac:dyDescent="0.25"/>
    <row r="47" spans="1:7" hidden="1" x14ac:dyDescent="0.25"/>
  </sheetData>
  <sheetProtection algorithmName="SHA-512" hashValue="sK2kx9gXdU2BkynLsB7Wxe7Nxq5irtg7iQMsTAAauWNRnLs3Xdt22NTlJ+PqoWbeC8LpqS0YDma3/7kZXPrfsA==" saltValue="KyCZEvfVK1luXhglP1UrIg=="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5" zeroHeight="1" x14ac:dyDescent="0.25"/>
  <cols>
    <col min="1" max="1" width="5.140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140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7" t="s">
        <v>118</v>
      </c>
      <c r="C3" s="107"/>
      <c r="D3" s="107"/>
      <c r="E3" s="107"/>
      <c r="F3" s="107"/>
      <c r="G3" s="1"/>
    </row>
    <row r="4" spans="1:7" ht="15" customHeight="1" x14ac:dyDescent="0.25">
      <c r="A4" s="1"/>
      <c r="B4" s="107"/>
      <c r="C4" s="107"/>
      <c r="D4" s="107"/>
      <c r="E4" s="107"/>
      <c r="F4" s="107"/>
      <c r="G4" s="1"/>
    </row>
    <row r="5" spans="1:7" x14ac:dyDescent="0.25">
      <c r="A5" s="1"/>
      <c r="B5" s="107"/>
      <c r="C5" s="107"/>
      <c r="D5" s="107"/>
      <c r="E5" s="107"/>
      <c r="F5" s="107"/>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08" t="s">
        <v>183</v>
      </c>
      <c r="C8" s="109"/>
      <c r="D8" s="109"/>
      <c r="E8" s="109"/>
      <c r="F8" s="110"/>
      <c r="G8" s="1"/>
    </row>
    <row r="9" spans="1:7" x14ac:dyDescent="0.25">
      <c r="A9" s="1"/>
      <c r="B9" s="31" t="s">
        <v>18</v>
      </c>
      <c r="C9" s="128" t="s">
        <v>11</v>
      </c>
      <c r="D9" s="129"/>
      <c r="E9" s="128" t="s">
        <v>27</v>
      </c>
      <c r="F9" s="129"/>
      <c r="G9" s="1"/>
    </row>
    <row r="10" spans="1:7" x14ac:dyDescent="0.25">
      <c r="A10" s="1"/>
      <c r="B10" s="70" t="s">
        <v>223</v>
      </c>
      <c r="C10" s="9">
        <v>0</v>
      </c>
      <c r="D10" s="14" t="s">
        <v>3</v>
      </c>
      <c r="E10" s="9">
        <v>0</v>
      </c>
      <c r="F10" s="14" t="s">
        <v>3</v>
      </c>
      <c r="G10" s="1"/>
    </row>
    <row r="11" spans="1:7" x14ac:dyDescent="0.25">
      <c r="A11" s="1"/>
      <c r="B11" s="33" t="s">
        <v>143</v>
      </c>
      <c r="C11" s="12">
        <f>SUM(C10:C10)</f>
        <v>0</v>
      </c>
      <c r="D11" s="13" t="s">
        <v>3</v>
      </c>
      <c r="E11" s="12">
        <f>SUM(E10:E10)</f>
        <v>0</v>
      </c>
      <c r="F11" s="13" t="s">
        <v>3</v>
      </c>
      <c r="G11" s="1"/>
    </row>
    <row r="12" spans="1:7" x14ac:dyDescent="0.25">
      <c r="A12" s="1"/>
      <c r="B12" s="33" t="s">
        <v>216</v>
      </c>
      <c r="C12" s="12">
        <f>C11*(1+'Fane 15. Nøgletal'!C10)^2</f>
        <v>0</v>
      </c>
      <c r="D12" s="13" t="s">
        <v>3</v>
      </c>
      <c r="E12" s="12">
        <f>E11*(1+'Fane 15. Nøgletal'!C10)^2</f>
        <v>0</v>
      </c>
      <c r="F12" s="13" t="s">
        <v>3</v>
      </c>
      <c r="G12" s="1"/>
    </row>
    <row r="13" spans="1:7" x14ac:dyDescent="0.25">
      <c r="A13" s="1"/>
      <c r="B13" s="1"/>
      <c r="C13" s="1"/>
      <c r="D13" s="1"/>
      <c r="E13" s="1"/>
      <c r="F13" s="1"/>
      <c r="G13" s="1"/>
    </row>
    <row r="14" spans="1:7" x14ac:dyDescent="0.25">
      <c r="A14" s="1"/>
      <c r="B14" s="127"/>
      <c r="C14" s="127"/>
      <c r="D14" s="127"/>
      <c r="E14" s="127"/>
      <c r="F14" s="127"/>
      <c r="G14" s="1"/>
    </row>
    <row r="15" spans="1:7" x14ac:dyDescent="0.25">
      <c r="A15" s="1"/>
      <c r="B15" s="48"/>
      <c r="C15" s="48"/>
      <c r="D15" s="48"/>
      <c r="E15" s="48"/>
      <c r="F15" s="48"/>
      <c r="G15" s="1"/>
    </row>
    <row r="16" spans="1:7" x14ac:dyDescent="0.25">
      <c r="A16" s="1"/>
      <c r="B16" s="49"/>
      <c r="C16" s="52"/>
      <c r="D16" s="51"/>
      <c r="E16" s="52"/>
      <c r="F16" s="51"/>
      <c r="G16" s="1"/>
    </row>
    <row r="17" spans="1:7" x14ac:dyDescent="0.25">
      <c r="A17" s="1"/>
      <c r="B17" s="49"/>
      <c r="C17" s="52"/>
      <c r="D17" s="51"/>
      <c r="E17" s="52"/>
      <c r="F17" s="51"/>
      <c r="G17" s="1"/>
    </row>
    <row r="18" spans="1:7" x14ac:dyDescent="0.25">
      <c r="A18" s="1"/>
      <c r="B18" s="53"/>
      <c r="C18" s="54"/>
      <c r="D18" s="55"/>
      <c r="E18" s="54"/>
      <c r="F18" s="55"/>
      <c r="G18" s="1"/>
    </row>
    <row r="19" spans="1:7" x14ac:dyDescent="0.25">
      <c r="A19" s="1"/>
      <c r="B19" s="53"/>
      <c r="C19" s="54"/>
      <c r="D19" s="55"/>
      <c r="E19" s="54"/>
      <c r="F19" s="55"/>
      <c r="G19" s="1"/>
    </row>
    <row r="20" spans="1:7" x14ac:dyDescent="0.25">
      <c r="A20" s="1"/>
      <c r="B20" s="46"/>
      <c r="C20" s="46"/>
      <c r="D20" s="46"/>
      <c r="E20" s="46"/>
      <c r="F20" s="46"/>
      <c r="G20" s="1"/>
    </row>
    <row r="21" spans="1:7" x14ac:dyDescent="0.25">
      <c r="A21" s="1"/>
      <c r="B21" s="127"/>
      <c r="C21" s="127"/>
      <c r="D21" s="127"/>
      <c r="E21" s="127"/>
      <c r="F21" s="127"/>
      <c r="G21" s="1"/>
    </row>
    <row r="22" spans="1:7" x14ac:dyDescent="0.25">
      <c r="A22" s="1"/>
      <c r="B22" s="48"/>
      <c r="C22" s="48"/>
      <c r="D22" s="48"/>
      <c r="E22" s="48"/>
      <c r="F22" s="48"/>
      <c r="G22" s="1"/>
    </row>
    <row r="23" spans="1:7" x14ac:dyDescent="0.25">
      <c r="A23" s="1"/>
      <c r="B23" s="49"/>
      <c r="C23" s="52"/>
      <c r="D23" s="51"/>
      <c r="E23" s="52"/>
      <c r="F23" s="51"/>
      <c r="G23" s="1"/>
    </row>
    <row r="24" spans="1:7" x14ac:dyDescent="0.25">
      <c r="A24" s="1"/>
      <c r="B24" s="53"/>
      <c r="C24" s="54"/>
      <c r="D24" s="55"/>
      <c r="E24" s="54"/>
      <c r="F24" s="55"/>
      <c r="G24" s="1"/>
    </row>
    <row r="25" spans="1:7" x14ac:dyDescent="0.25">
      <c r="A25" s="1"/>
      <c r="B25" s="53"/>
      <c r="C25" s="54"/>
      <c r="D25" s="55"/>
      <c r="E25" s="54"/>
      <c r="F25" s="55"/>
      <c r="G25" s="1"/>
    </row>
    <row r="26" spans="1:7" x14ac:dyDescent="0.25">
      <c r="A26" s="1"/>
      <c r="B26" s="46"/>
      <c r="C26" s="46"/>
      <c r="D26" s="46"/>
      <c r="E26" s="46"/>
      <c r="F26" s="46"/>
      <c r="G26" s="1"/>
    </row>
    <row r="27" spans="1:7" x14ac:dyDescent="0.25">
      <c r="A27" s="1"/>
      <c r="B27" s="127"/>
      <c r="C27" s="127"/>
      <c r="D27" s="127"/>
      <c r="E27" s="127"/>
      <c r="F27" s="127"/>
      <c r="G27" s="1"/>
    </row>
    <row r="28" spans="1:7" x14ac:dyDescent="0.25">
      <c r="A28" s="1"/>
      <c r="B28" s="48"/>
      <c r="C28" s="48"/>
      <c r="D28" s="48"/>
      <c r="E28" s="48"/>
      <c r="F28" s="48"/>
      <c r="G28" s="1"/>
    </row>
    <row r="29" spans="1:7" x14ac:dyDescent="0.25">
      <c r="A29" s="1"/>
      <c r="B29" s="49"/>
      <c r="C29" s="52"/>
      <c r="D29" s="51"/>
      <c r="E29" s="52"/>
      <c r="F29" s="51"/>
      <c r="G29" s="1"/>
    </row>
    <row r="30" spans="1:7" x14ac:dyDescent="0.25">
      <c r="A30" s="1"/>
      <c r="B30" s="53"/>
      <c r="C30" s="54"/>
      <c r="D30" s="55"/>
      <c r="E30" s="54"/>
      <c r="F30" s="55"/>
      <c r="G30" s="1"/>
    </row>
    <row r="31" spans="1:7" x14ac:dyDescent="0.25">
      <c r="A31" s="1"/>
      <c r="B31" s="53"/>
      <c r="C31" s="54"/>
      <c r="D31" s="55"/>
      <c r="E31" s="54"/>
      <c r="F31" s="5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HfT5BeH1xHtOEVeiLCRxe7IF00Fjcvv5So6E4KiJEuprTggCecGU4MDWoeYmtPk/o9ocJkoC1AcSp5EHo2svkQ==" saltValue="6mo0ujqzhFGej617hFHjdQ=="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7"/>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155</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90</v>
      </c>
      <c r="C9" s="7">
        <f>'Fane 3. Omkostninger i ØR2024'!C20</f>
        <v>55633652.429657117</v>
      </c>
      <c r="D9" s="8" t="s">
        <v>3</v>
      </c>
      <c r="E9" s="1"/>
    </row>
    <row r="10" spans="1:5" ht="17.25" customHeight="1" x14ac:dyDescent="0.25">
      <c r="A10" s="1"/>
      <c r="B10" s="64" t="s">
        <v>35</v>
      </c>
      <c r="C10" s="7">
        <f>'Fane 11.1. Varige tillæg'!C20</f>
        <v>320309.05590000004</v>
      </c>
      <c r="D10" s="8" t="s">
        <v>3</v>
      </c>
      <c r="E10" s="1"/>
    </row>
    <row r="11" spans="1:5" ht="17.25" customHeight="1" x14ac:dyDescent="0.25">
      <c r="A11" s="1"/>
      <c r="B11" s="64" t="s">
        <v>36</v>
      </c>
      <c r="C11" s="9">
        <f>'Fane 11.1. Varige tillæg'!E20</f>
        <v>62633.395700000001</v>
      </c>
      <c r="D11" s="8" t="s">
        <v>3</v>
      </c>
      <c r="E11" s="1"/>
    </row>
    <row r="12" spans="1:5" ht="17.25" customHeight="1" x14ac:dyDescent="0.25">
      <c r="A12" s="1"/>
      <c r="B12" s="64" t="s">
        <v>25</v>
      </c>
      <c r="C12" s="9">
        <f>-'Fane 14. Bortfald'!C12</f>
        <v>0</v>
      </c>
      <c r="D12" s="8" t="s">
        <v>3</v>
      </c>
      <c r="E12" s="1"/>
    </row>
    <row r="13" spans="1:5" ht="17.25" customHeight="1" x14ac:dyDescent="0.25">
      <c r="A13" s="1"/>
      <c r="B13" s="64" t="s">
        <v>24</v>
      </c>
      <c r="C13" s="9">
        <f>-'Fane 14. Bortfald'!E12</f>
        <v>0</v>
      </c>
      <c r="D13" s="8" t="s">
        <v>3</v>
      </c>
      <c r="E13" s="1"/>
    </row>
    <row r="14" spans="1:5" ht="17.25" customHeight="1" x14ac:dyDescent="0.25">
      <c r="A14" s="1"/>
      <c r="B14" s="64" t="s">
        <v>62</v>
      </c>
      <c r="C14" s="9">
        <f>'Fane 13. Tilknyttet virksomhed'!C12</f>
        <v>0</v>
      </c>
      <c r="D14" s="8" t="s">
        <v>3</v>
      </c>
      <c r="E14" s="1"/>
    </row>
    <row r="15" spans="1:5" ht="17.25" customHeight="1" x14ac:dyDescent="0.25">
      <c r="A15" s="1"/>
      <c r="B15" s="64" t="s">
        <v>63</v>
      </c>
      <c r="C15" s="9">
        <f>'Fane 13. Tilknyttet virksomhed'!E12</f>
        <v>0</v>
      </c>
      <c r="D15" s="8" t="s">
        <v>3</v>
      </c>
      <c r="E15" s="1"/>
    </row>
    <row r="16" spans="1:5" ht="17.25" customHeight="1" x14ac:dyDescent="0.25">
      <c r="A16" s="1"/>
      <c r="B16" s="64" t="s">
        <v>19</v>
      </c>
      <c r="C16" s="38">
        <f>SUM(C9)*'Fane 15. Nøgletal'!C9+SUM(C10:C11,C14:C15)*'Fane 15. Nøgletal'!C10</f>
        <v>4520588.2008573748</v>
      </c>
      <c r="D16" s="8" t="s">
        <v>3</v>
      </c>
      <c r="E16" s="1"/>
    </row>
    <row r="17" spans="1:5" ht="17.25" customHeight="1" x14ac:dyDescent="0.25">
      <c r="A17" s="1"/>
      <c r="B17" s="64" t="s">
        <v>10</v>
      </c>
      <c r="C17" s="38">
        <f>-SUM(C9,C10:C16)*'Fane 5. Individuelt eff. krav'!C9</f>
        <v>0</v>
      </c>
      <c r="D17" s="8" t="s">
        <v>3</v>
      </c>
      <c r="E17" s="1"/>
    </row>
    <row r="18" spans="1:5" ht="17.25" customHeight="1" x14ac:dyDescent="0.25">
      <c r="A18" s="1"/>
      <c r="B18" s="64" t="s">
        <v>22</v>
      </c>
      <c r="C18" s="38">
        <f>-'Fane 4.1. Gen. krav - drift'!C17</f>
        <v>-391984.11763877724</v>
      </c>
      <c r="D18" s="8" t="s">
        <v>3</v>
      </c>
      <c r="E18" s="1"/>
    </row>
    <row r="19" spans="1:5" ht="17.25" customHeight="1" x14ac:dyDescent="0.25">
      <c r="A19" s="1"/>
      <c r="B19" s="64" t="s">
        <v>23</v>
      </c>
      <c r="C19" s="38">
        <f>-'Fane 4.2. Gen. krav - anlæg'!C17</f>
        <v>0</v>
      </c>
      <c r="D19" s="8" t="s">
        <v>3</v>
      </c>
      <c r="E19" s="43"/>
    </row>
    <row r="20" spans="1:5" ht="17.25" customHeight="1" x14ac:dyDescent="0.25">
      <c r="A20" s="1"/>
      <c r="B20" s="81" t="s">
        <v>21</v>
      </c>
      <c r="C20" s="10">
        <f>SUM(C9:C19)</f>
        <v>60145198.964475714</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1488504.72953764</v>
      </c>
      <c r="D22" s="11" t="s">
        <v>3</v>
      </c>
      <c r="E22" s="1"/>
    </row>
    <row r="23" spans="1:5" ht="15" customHeight="1" x14ac:dyDescent="0.25">
      <c r="A23" s="1"/>
      <c r="B23" s="33" t="s">
        <v>42</v>
      </c>
      <c r="C23" s="28"/>
      <c r="D23" s="19"/>
      <c r="E23" s="1"/>
    </row>
    <row r="24" spans="1:5" ht="15" customHeight="1" x14ac:dyDescent="0.25">
      <c r="A24" s="1"/>
      <c r="B24" s="81" t="s">
        <v>42</v>
      </c>
      <c r="C24" s="10">
        <f>'Fane 12. Periodevise driftsomk.'!C12</f>
        <v>0</v>
      </c>
      <c r="D24" s="11" t="s">
        <v>3</v>
      </c>
      <c r="E24" s="1"/>
    </row>
    <row r="25" spans="1:5" ht="15" customHeight="1" x14ac:dyDescent="0.25">
      <c r="A25" s="1"/>
      <c r="B25" s="41" t="s">
        <v>41</v>
      </c>
      <c r="C25" s="39"/>
      <c r="D25" s="40"/>
      <c r="E25" s="1"/>
    </row>
    <row r="26" spans="1:5" ht="15" customHeight="1" x14ac:dyDescent="0.25">
      <c r="A26" s="1"/>
      <c r="B26" s="64" t="s">
        <v>89</v>
      </c>
      <c r="C26" s="38">
        <f>'Fane 11.2. Engangstillæg'!C14</f>
        <v>0</v>
      </c>
      <c r="D26" s="8" t="s">
        <v>3</v>
      </c>
      <c r="E26" s="1"/>
    </row>
    <row r="27" spans="1:5" ht="15" customHeight="1" x14ac:dyDescent="0.25">
      <c r="A27" s="1"/>
      <c r="B27" s="64" t="s">
        <v>38</v>
      </c>
      <c r="C27" s="38">
        <f>'Fane 11.2. Engangstillæg'!E14</f>
        <v>0</v>
      </c>
      <c r="D27" s="8" t="s">
        <v>3</v>
      </c>
      <c r="E27" s="1"/>
    </row>
    <row r="28" spans="1:5" ht="15" customHeight="1" x14ac:dyDescent="0.25">
      <c r="A28" s="1"/>
      <c r="B28" s="64" t="s">
        <v>92</v>
      </c>
      <c r="C28" s="38">
        <f>-C26*('Fane 15. Nøgletal'!C21+'Fane 5. Individuelt eff. krav'!C9)</f>
        <v>0</v>
      </c>
      <c r="D28" s="8" t="s">
        <v>3</v>
      </c>
      <c r="E28" s="1"/>
    </row>
    <row r="29" spans="1:5" ht="15" customHeight="1" x14ac:dyDescent="0.25">
      <c r="A29" s="1"/>
      <c r="B29" s="64" t="s">
        <v>93</v>
      </c>
      <c r="C29" s="38">
        <f>-C27*('Fane 15. Nøgletal'!C16+'Fane 5. Individuelt eff. krav'!C9)</f>
        <v>0</v>
      </c>
      <c r="D29" s="8" t="s">
        <v>3</v>
      </c>
      <c r="E29" s="1"/>
    </row>
    <row r="30" spans="1:5" ht="15" customHeight="1" x14ac:dyDescent="0.25">
      <c r="A30" s="1"/>
      <c r="B30" s="67" t="s">
        <v>43</v>
      </c>
      <c r="C30" s="10">
        <f>SUM(C26:C29)</f>
        <v>0</v>
      </c>
      <c r="D30" s="11" t="s">
        <v>3</v>
      </c>
      <c r="E30" s="1"/>
    </row>
    <row r="31" spans="1:5" x14ac:dyDescent="0.25">
      <c r="A31" s="1"/>
      <c r="B31" s="33" t="s">
        <v>69</v>
      </c>
      <c r="C31" s="28"/>
      <c r="D31" s="19"/>
      <c r="E31" s="1"/>
    </row>
    <row r="32" spans="1:5" x14ac:dyDescent="0.25">
      <c r="A32" s="1"/>
      <c r="B32" s="31" t="s">
        <v>79</v>
      </c>
      <c r="C32" s="62">
        <f>'Fane 7. Kontrol af ØR2023'!C27</f>
        <v>0</v>
      </c>
      <c r="D32" s="11" t="s">
        <v>3</v>
      </c>
      <c r="E32" s="1"/>
    </row>
    <row r="33" spans="1:5" ht="15" customHeight="1" x14ac:dyDescent="0.25">
      <c r="A33" s="1"/>
      <c r="B33" s="33" t="s">
        <v>154</v>
      </c>
      <c r="C33" s="28"/>
      <c r="D33" s="19"/>
      <c r="E33" s="1"/>
    </row>
    <row r="34" spans="1:5" x14ac:dyDescent="0.25">
      <c r="A34" s="1"/>
      <c r="B34" s="31" t="s">
        <v>154</v>
      </c>
      <c r="C34" s="10">
        <f>'Fane 9. Korrektion af ØR2023'!C16</f>
        <v>0</v>
      </c>
      <c r="D34" s="11" t="s">
        <v>3</v>
      </c>
      <c r="E34" s="1"/>
    </row>
    <row r="35" spans="1:5" x14ac:dyDescent="0.25">
      <c r="A35" s="1"/>
      <c r="B35" s="30" t="s">
        <v>75</v>
      </c>
      <c r="C35" s="28"/>
      <c r="D35" s="19"/>
      <c r="E35" s="1"/>
    </row>
    <row r="36" spans="1:5" x14ac:dyDescent="0.25">
      <c r="A36" s="1"/>
      <c r="B36" s="67" t="s">
        <v>76</v>
      </c>
      <c r="C36" s="10">
        <f>'Fane 8. Skattesagen'!C14</f>
        <v>0</v>
      </c>
      <c r="D36" s="11" t="s">
        <v>3</v>
      </c>
      <c r="E36" s="1"/>
    </row>
    <row r="37" spans="1:5" x14ac:dyDescent="0.25">
      <c r="A37" s="1"/>
      <c r="B37" s="33" t="s">
        <v>71</v>
      </c>
      <c r="C37" s="45">
        <f>SUM(C34,C32,C24,C30,C22,C20,C36)</f>
        <v>61633703.694013357</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YLVK289/Mx6GOoS4NKhfIxFvEV9kyOAk9pyuUGR/ZDIq5pqRdkXP8F1IvBQathWQ3ncLVclAnuq6MW7sefMmYA==" saltValue="khJJaiG2ARcmO7RR8K0sYw=="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7" t="s">
        <v>119</v>
      </c>
      <c r="C3" s="107"/>
      <c r="D3" s="1"/>
    </row>
    <row r="4" spans="1:4" ht="15" customHeight="1" x14ac:dyDescent="0.25">
      <c r="A4" s="1"/>
      <c r="B4" s="107"/>
      <c r="C4" s="107"/>
      <c r="D4" s="1"/>
    </row>
    <row r="5" spans="1:4" ht="15" customHeight="1"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59" t="s">
        <v>122</v>
      </c>
      <c r="C9" s="61">
        <v>8.0799999999999997E-2</v>
      </c>
      <c r="D9" s="1"/>
    </row>
    <row r="10" spans="1:4" x14ac:dyDescent="0.25">
      <c r="A10" s="1"/>
      <c r="B10" s="59" t="s">
        <v>228</v>
      </c>
      <c r="C10" s="61">
        <v>6.6299999999999998E-2</v>
      </c>
      <c r="D10" s="1"/>
    </row>
    <row r="11" spans="1:4" x14ac:dyDescent="0.25">
      <c r="A11" s="1"/>
      <c r="B11" s="33"/>
      <c r="C11" s="19"/>
      <c r="D11" s="1"/>
    </row>
    <row r="12" spans="1:4" x14ac:dyDescent="0.25">
      <c r="A12" s="1"/>
      <c r="B12" s="1"/>
      <c r="C12" s="1"/>
      <c r="D12" s="1"/>
    </row>
    <row r="13" spans="1:4" x14ac:dyDescent="0.25">
      <c r="A13" s="1"/>
      <c r="B13" s="1"/>
      <c r="C13" s="1"/>
      <c r="D13" s="1"/>
    </row>
    <row r="14" spans="1:4" x14ac:dyDescent="0.25">
      <c r="A14" s="1"/>
      <c r="B14" s="33" t="s">
        <v>50</v>
      </c>
      <c r="C14" s="19"/>
      <c r="D14" s="1"/>
    </row>
    <row r="15" spans="1:4" x14ac:dyDescent="0.25">
      <c r="A15" s="1"/>
      <c r="B15" s="59" t="s">
        <v>215</v>
      </c>
      <c r="C15" s="60">
        <v>0</v>
      </c>
      <c r="D15" s="1"/>
    </row>
    <row r="16" spans="1:4" x14ac:dyDescent="0.25">
      <c r="A16" s="1"/>
      <c r="B16" s="59" t="s">
        <v>229</v>
      </c>
      <c r="C16" s="22">
        <v>0</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51</v>
      </c>
      <c r="C20" s="19"/>
      <c r="D20" s="1"/>
    </row>
    <row r="21" spans="1:4" x14ac:dyDescent="0.25">
      <c r="A21" s="1"/>
      <c r="B21" s="37" t="s">
        <v>59</v>
      </c>
      <c r="C21" s="25">
        <v>0.02</v>
      </c>
      <c r="D21" s="1"/>
    </row>
    <row r="22" spans="1:4" x14ac:dyDescent="0.25">
      <c r="A22" s="1"/>
      <c r="B22" s="33"/>
      <c r="C22" s="19"/>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hidden="1" x14ac:dyDescent="0.25"/>
  </sheetData>
  <sheetProtection algorithmName="SHA-512" hashValue="sj9YG3VQh9RjEsDfSQan2n8eN9RpBItJnJlRkjX5fkSYQb2ufquAwAqYy/ejjeOdnJ586ZQkyk01t/OcalnBew==" saltValue="u73JWUa29zwFmJQ+fcOj/A=="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156</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80</v>
      </c>
      <c r="C9" s="7">
        <f>'Fane 2.1. Økonomisk ramme 2025'!C20</f>
        <v>60145198.964475714</v>
      </c>
      <c r="D9" s="8" t="s">
        <v>3</v>
      </c>
      <c r="E9" s="1"/>
    </row>
    <row r="10" spans="1:5" ht="15" customHeight="1" x14ac:dyDescent="0.25">
      <c r="A10" s="1"/>
      <c r="B10" s="26" t="s">
        <v>19</v>
      </c>
      <c r="C10" s="7">
        <f>C9*'Fane 15. Nøgletal'!C10</f>
        <v>3987626.6913447399</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drift'!C22</f>
        <v>-409613.21134546364</v>
      </c>
      <c r="D12" s="8" t="s">
        <v>3</v>
      </c>
      <c r="E12" s="1"/>
    </row>
    <row r="13" spans="1:5" ht="15" customHeight="1" x14ac:dyDescent="0.25">
      <c r="A13" s="1"/>
      <c r="B13" s="26" t="s">
        <v>23</v>
      </c>
      <c r="C13" s="9">
        <f>-'Fane 4.2. Gen. krav - anlæg'!C22</f>
        <v>0</v>
      </c>
      <c r="D13" s="8" t="s">
        <v>3</v>
      </c>
      <c r="E13" s="1"/>
    </row>
    <row r="14" spans="1:5" ht="15" customHeight="1" x14ac:dyDescent="0.25">
      <c r="A14" s="1"/>
      <c r="B14" s="27" t="s">
        <v>21</v>
      </c>
      <c r="C14" s="10">
        <f>SUM(C9:C13)</f>
        <v>63723212.444474988</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Nøgletal'!C10)+'Fane 6. Ikke-påvirkelige omk.'!C26+'Fane 6. Ikke-påvirkelige omk.'!C34</f>
        <v>1587192.5931059856</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driftsomk.'!C18</f>
        <v>0</v>
      </c>
      <c r="D18" s="11" t="s">
        <v>3</v>
      </c>
      <c r="E18" s="1"/>
    </row>
    <row r="19" spans="1:5"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Skattesagen'!C15</f>
        <v>0</v>
      </c>
      <c r="D22" s="11" t="s">
        <v>3</v>
      </c>
      <c r="E22" s="1"/>
    </row>
    <row r="23" spans="1:5" x14ac:dyDescent="0.25">
      <c r="A23" s="1"/>
      <c r="B23" s="33" t="s">
        <v>81</v>
      </c>
      <c r="C23" s="12">
        <f>SUM(C14,C16,C18,C20,C22)</f>
        <v>65310405.037580974</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HFGkrarAd7BH+sDDsn3F+ip/vp/AuTIk4eAXSnUIosNEtvCnL4NIRSlltRqMXtetQ0xAa5KrdJpaufgN8ZgaxA==" saltValue="Q43LlWxkc/0ymYszpIs6mg=="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157</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3"/>
      <c r="C6" s="73"/>
      <c r="D6" s="73"/>
      <c r="E6" s="1"/>
    </row>
    <row r="7" spans="1:5" x14ac:dyDescent="0.25">
      <c r="A7" s="1"/>
      <c r="B7" s="1"/>
      <c r="C7" s="1"/>
      <c r="D7" s="1"/>
      <c r="E7" s="1"/>
    </row>
    <row r="8" spans="1:5" x14ac:dyDescent="0.25">
      <c r="A8" s="1"/>
      <c r="B8" s="33" t="s">
        <v>13</v>
      </c>
      <c r="C8" s="28"/>
      <c r="D8" s="19"/>
      <c r="E8" s="1"/>
    </row>
    <row r="9" spans="1:5" ht="15" customHeight="1" x14ac:dyDescent="0.25">
      <c r="A9" s="1"/>
      <c r="B9" s="29" t="s">
        <v>129</v>
      </c>
      <c r="C9" s="7">
        <f>'Fane 2.2. Økonomisk ramme 2026'!C14</f>
        <v>63723212.444474988</v>
      </c>
      <c r="D9" s="8" t="s">
        <v>3</v>
      </c>
      <c r="E9" s="1"/>
    </row>
    <row r="10" spans="1:5" ht="15" customHeight="1" x14ac:dyDescent="0.25">
      <c r="A10" s="1"/>
      <c r="B10" s="26" t="s">
        <v>19</v>
      </c>
      <c r="C10" s="7">
        <f>SUM(C9:C9)*'Fane 15. Nøgletal'!C10</f>
        <v>4224848.9850686919</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drift'!C27</f>
        <v>-428035.15591251448</v>
      </c>
      <c r="D12" s="8" t="s">
        <v>3</v>
      </c>
      <c r="E12" s="1"/>
    </row>
    <row r="13" spans="1:5" ht="15" customHeight="1" x14ac:dyDescent="0.25">
      <c r="A13" s="1"/>
      <c r="B13" s="26" t="s">
        <v>23</v>
      </c>
      <c r="C13" s="9">
        <f>-'Fane 4.2. Gen. krav - anlæg'!C27</f>
        <v>0</v>
      </c>
      <c r="D13" s="8" t="s">
        <v>3</v>
      </c>
      <c r="E13" s="1"/>
    </row>
    <row r="14" spans="1:5" x14ac:dyDescent="0.25">
      <c r="A14" s="1"/>
      <c r="B14" s="27" t="s">
        <v>21</v>
      </c>
      <c r="C14" s="10">
        <f>SUM(C9:C13)</f>
        <v>67520026.273631155</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Nøgletal'!C10)^2+'Fane 6. Ikke-påvirkelige omk.'!C27+'Fane 6. Ikke-påvirkelige omk.'!C35</f>
        <v>1692423.4620289123</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driftsomk.'!C24</f>
        <v>0</v>
      </c>
      <c r="D18" s="11" t="s">
        <v>3</v>
      </c>
      <c r="E18" s="1"/>
    </row>
    <row r="19" spans="1:5" ht="15" customHeight="1"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Skattesagen'!C16</f>
        <v>0</v>
      </c>
      <c r="D22" s="11" t="s">
        <v>3</v>
      </c>
      <c r="E22" s="1"/>
    </row>
    <row r="23" spans="1:5" x14ac:dyDescent="0.25">
      <c r="A23" s="1"/>
      <c r="B23" s="33" t="s">
        <v>130</v>
      </c>
      <c r="C23" s="12">
        <f>SUM(C14,C16,C18,C20,C22)</f>
        <v>69212449.735660061</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9VAua8Pc6BZQDdemMW+0IwR7CUvcit2yVJKrSbrUaV4+cKV/nVeDDQAPoIHyoPaPMmcOuuIKIroIzFI7atZZeQ==" saltValue="kc60T+0xi/nbOF6/hRnM1A=="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158</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3"/>
      <c r="C6" s="73"/>
      <c r="D6" s="73"/>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2.3. Økonomisk ramme 2027'!C14</f>
        <v>67520026.273631155</v>
      </c>
      <c r="D9" s="8" t="s">
        <v>3</v>
      </c>
      <c r="E9" s="1"/>
    </row>
    <row r="10" spans="1:5" ht="15" customHeight="1" x14ac:dyDescent="0.25">
      <c r="A10" s="1"/>
      <c r="B10" s="26" t="s">
        <v>19</v>
      </c>
      <c r="C10" s="7">
        <f>SUM(C9:C9)*'Fane 15. Nøgletal'!C10</f>
        <v>4476577.7419417454</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drift'!C32</f>
        <v>-447285.60901452391</v>
      </c>
      <c r="D12" s="8" t="s">
        <v>3</v>
      </c>
      <c r="E12" s="1"/>
    </row>
    <row r="13" spans="1:5" ht="15" customHeight="1" x14ac:dyDescent="0.25">
      <c r="A13" s="1"/>
      <c r="B13" s="26" t="s">
        <v>23</v>
      </c>
      <c r="C13" s="9">
        <f>-'Fane 4.2. Gen. krav - anlæg'!C32</f>
        <v>0</v>
      </c>
      <c r="D13" s="8" t="s">
        <v>3</v>
      </c>
      <c r="E13" s="1"/>
    </row>
    <row r="14" spans="1:5" ht="14.25" customHeight="1" x14ac:dyDescent="0.25">
      <c r="A14" s="1"/>
      <c r="B14" s="27" t="s">
        <v>21</v>
      </c>
      <c r="C14" s="10">
        <f>SUM(C9:C13)</f>
        <v>71549318.40655838</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Nøgletal'!C10)^3+'Fane 6. Ikke-påvirkelige omk.'!C28+'Fane 6. Ikke-påvirkelige omk.'!C36</f>
        <v>1804631.1375614295</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driftsomk.'!C30</f>
        <v>0</v>
      </c>
      <c r="D18" s="11" t="s">
        <v>3</v>
      </c>
      <c r="E18" s="1"/>
    </row>
    <row r="19" spans="1:5" x14ac:dyDescent="0.25">
      <c r="A19" s="1"/>
      <c r="B19" s="30" t="s">
        <v>75</v>
      </c>
      <c r="C19" s="28"/>
      <c r="D19" s="19"/>
      <c r="E19" s="1"/>
    </row>
    <row r="20" spans="1:5" x14ac:dyDescent="0.25">
      <c r="A20" s="1"/>
      <c r="B20" s="67" t="s">
        <v>76</v>
      </c>
      <c r="C20" s="10">
        <f>'Fane 8. Skattesagen'!C17</f>
        <v>0</v>
      </c>
      <c r="D20" s="11" t="s">
        <v>3</v>
      </c>
      <c r="E20" s="1"/>
    </row>
    <row r="21" spans="1:5" x14ac:dyDescent="0.25">
      <c r="A21" s="1"/>
      <c r="B21" s="33" t="s">
        <v>160</v>
      </c>
      <c r="C21" s="12">
        <f>SUM(C14,C16,C18,C20)</f>
        <v>73353949.544119805</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rR7kW8uq3R1c6quSZAKnirvn951Ezc/MRprdfVJmTVYLtRAgW9LXN5Pm3FghCCZKFPoaA9KO0P0ysOQLSNkekg==" saltValue="A+697B+D+MbGVcURoM5LTA=="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5" zeroHeight="1"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107" t="s">
        <v>161</v>
      </c>
      <c r="C3" s="107"/>
      <c r="D3" s="107"/>
      <c r="E3" s="1"/>
    </row>
    <row r="4" spans="1:5" ht="15" customHeight="1" x14ac:dyDescent="0.25">
      <c r="A4" s="1"/>
      <c r="B4" s="107"/>
      <c r="C4" s="107"/>
      <c r="D4" s="107"/>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162</v>
      </c>
      <c r="C8" s="28"/>
      <c r="D8" s="19"/>
      <c r="E8" s="1"/>
    </row>
    <row r="9" spans="1:5" ht="15" customHeight="1" x14ac:dyDescent="0.25">
      <c r="A9" s="1"/>
      <c r="B9" s="29" t="s">
        <v>64</v>
      </c>
      <c r="C9" s="7">
        <v>49868978.596665353</v>
      </c>
      <c r="D9" s="8" t="s">
        <v>3</v>
      </c>
      <c r="E9" s="1"/>
    </row>
    <row r="10" spans="1:5" ht="15" customHeight="1" x14ac:dyDescent="0.25">
      <c r="A10" s="1"/>
      <c r="B10" s="64" t="s">
        <v>35</v>
      </c>
      <c r="C10" s="7">
        <v>366446.32079999999</v>
      </c>
      <c r="D10" s="8" t="s">
        <v>3</v>
      </c>
      <c r="E10" s="1"/>
    </row>
    <row r="11" spans="1:5" ht="15" customHeight="1" x14ac:dyDescent="0.25">
      <c r="A11" s="1"/>
      <c r="B11" s="64" t="s">
        <v>36</v>
      </c>
      <c r="C11" s="9">
        <v>1575534.0384</v>
      </c>
      <c r="D11" s="8" t="s">
        <v>3</v>
      </c>
      <c r="E11" s="1"/>
    </row>
    <row r="12" spans="1:5" ht="15" customHeight="1" x14ac:dyDescent="0.25">
      <c r="A12" s="1"/>
      <c r="B12" s="64" t="s">
        <v>25</v>
      </c>
      <c r="C12" s="9">
        <v>0</v>
      </c>
      <c r="D12" s="8" t="s">
        <v>3</v>
      </c>
      <c r="E12" s="1"/>
    </row>
    <row r="13" spans="1:5" ht="15" customHeight="1" x14ac:dyDescent="0.25">
      <c r="A13" s="1"/>
      <c r="B13" s="64" t="s">
        <v>24</v>
      </c>
      <c r="C13" s="9">
        <v>0</v>
      </c>
      <c r="D13" s="8" t="s">
        <v>3</v>
      </c>
      <c r="E13" s="1"/>
    </row>
    <row r="14" spans="1:5" ht="15" customHeight="1" x14ac:dyDescent="0.25">
      <c r="A14" s="1"/>
      <c r="B14" s="64" t="s">
        <v>62</v>
      </c>
      <c r="C14" s="9">
        <v>0</v>
      </c>
      <c r="D14" s="8" t="s">
        <v>3</v>
      </c>
      <c r="E14" s="1"/>
    </row>
    <row r="15" spans="1:5" ht="15" customHeight="1" x14ac:dyDescent="0.25">
      <c r="A15" s="1"/>
      <c r="B15" s="64" t="s">
        <v>63</v>
      </c>
      <c r="C15" s="9">
        <v>0</v>
      </c>
      <c r="D15" s="8" t="s">
        <v>3</v>
      </c>
      <c r="E15" s="1"/>
    </row>
    <row r="16" spans="1:5" ht="15" customHeight="1" x14ac:dyDescent="0.25">
      <c r="A16" s="1"/>
      <c r="B16" s="64" t="s">
        <v>19</v>
      </c>
      <c r="C16" s="38">
        <v>4186325.4836339206</v>
      </c>
      <c r="D16" s="8" t="s">
        <v>3</v>
      </c>
      <c r="E16" s="1"/>
    </row>
    <row r="17" spans="1:5" ht="15" customHeight="1" x14ac:dyDescent="0.25">
      <c r="A17" s="1"/>
      <c r="B17" s="64" t="s">
        <v>10</v>
      </c>
      <c r="C17" s="38">
        <v>0</v>
      </c>
      <c r="D17" s="8" t="s">
        <v>3</v>
      </c>
      <c r="E17" s="1"/>
    </row>
    <row r="18" spans="1:5" ht="15" customHeight="1" x14ac:dyDescent="0.25">
      <c r="A18" s="1"/>
      <c r="B18" s="64" t="s">
        <v>22</v>
      </c>
      <c r="C18" s="38">
        <v>-363632.00984215568</v>
      </c>
      <c r="D18" s="8" t="s">
        <v>3</v>
      </c>
      <c r="E18" s="1"/>
    </row>
    <row r="19" spans="1:5" ht="15" customHeight="1" x14ac:dyDescent="0.25">
      <c r="A19" s="1"/>
      <c r="B19" s="64" t="s">
        <v>23</v>
      </c>
      <c r="C19" s="38">
        <v>0</v>
      </c>
      <c r="D19" s="8" t="s">
        <v>3</v>
      </c>
      <c r="E19" s="43"/>
    </row>
    <row r="20" spans="1:5" ht="15" customHeight="1" x14ac:dyDescent="0.25">
      <c r="A20" s="1"/>
      <c r="B20" s="81" t="s">
        <v>21</v>
      </c>
      <c r="C20" s="10">
        <v>55633652.429657117</v>
      </c>
      <c r="D20" s="11" t="s">
        <v>3</v>
      </c>
      <c r="E20" s="1"/>
    </row>
    <row r="21" spans="1:5" ht="15" customHeight="1" x14ac:dyDescent="0.25">
      <c r="A21" s="1"/>
      <c r="B21" s="33" t="s">
        <v>12</v>
      </c>
      <c r="C21" s="28"/>
      <c r="D21" s="19"/>
      <c r="E21" s="1"/>
    </row>
    <row r="22" spans="1:5" ht="15" customHeight="1" x14ac:dyDescent="0.25">
      <c r="A22" s="1"/>
      <c r="B22" s="31" t="s">
        <v>12</v>
      </c>
      <c r="C22" s="10">
        <v>1717977.30400576</v>
      </c>
      <c r="D22" s="11" t="s">
        <v>3</v>
      </c>
      <c r="E22" s="1"/>
    </row>
    <row r="23" spans="1:5" ht="15" customHeight="1" x14ac:dyDescent="0.25">
      <c r="A23" s="1"/>
      <c r="B23" s="33" t="s">
        <v>42</v>
      </c>
      <c r="C23" s="28"/>
      <c r="D23" s="19"/>
      <c r="E23" s="1"/>
    </row>
    <row r="24" spans="1:5" ht="15" customHeight="1" x14ac:dyDescent="0.25">
      <c r="A24" s="1"/>
      <c r="B24" s="81" t="s">
        <v>42</v>
      </c>
      <c r="C24" s="10">
        <v>0</v>
      </c>
      <c r="D24" s="11" t="s">
        <v>3</v>
      </c>
      <c r="E24" s="1"/>
    </row>
    <row r="25" spans="1:5" x14ac:dyDescent="0.25">
      <c r="A25" s="1"/>
      <c r="B25" s="41" t="s">
        <v>41</v>
      </c>
      <c r="C25" s="39"/>
      <c r="D25" s="40"/>
      <c r="E25" s="1"/>
    </row>
    <row r="26" spans="1:5" ht="15" customHeight="1" x14ac:dyDescent="0.25">
      <c r="A26" s="1"/>
      <c r="B26" s="64" t="s">
        <v>89</v>
      </c>
      <c r="C26" s="38">
        <v>0</v>
      </c>
      <c r="D26" s="8" t="s">
        <v>3</v>
      </c>
      <c r="E26" s="1"/>
    </row>
    <row r="27" spans="1:5" ht="15" customHeight="1" x14ac:dyDescent="0.25">
      <c r="A27" s="1"/>
      <c r="B27" s="64" t="s">
        <v>38</v>
      </c>
      <c r="C27" s="38">
        <v>0</v>
      </c>
      <c r="D27" s="8" t="s">
        <v>3</v>
      </c>
      <c r="E27" s="1"/>
    </row>
    <row r="28" spans="1:5" ht="15" customHeight="1" x14ac:dyDescent="0.25">
      <c r="A28" s="1"/>
      <c r="B28" s="64" t="s">
        <v>92</v>
      </c>
      <c r="C28" s="38">
        <v>0</v>
      </c>
      <c r="D28" s="8" t="s">
        <v>3</v>
      </c>
      <c r="E28" s="1"/>
    </row>
    <row r="29" spans="1:5" ht="15" customHeight="1" x14ac:dyDescent="0.25">
      <c r="A29" s="1"/>
      <c r="B29" s="64" t="s">
        <v>93</v>
      </c>
      <c r="C29" s="38">
        <v>0</v>
      </c>
      <c r="D29" s="8" t="s">
        <v>3</v>
      </c>
      <c r="E29" s="1"/>
    </row>
    <row r="30" spans="1:5" ht="15" customHeight="1" x14ac:dyDescent="0.25">
      <c r="A30" s="1"/>
      <c r="B30" s="67" t="s">
        <v>43</v>
      </c>
      <c r="C30" s="10">
        <v>0</v>
      </c>
      <c r="D30" s="11" t="s">
        <v>3</v>
      </c>
      <c r="E30" s="1"/>
    </row>
    <row r="31" spans="1:5" ht="15" customHeight="1" x14ac:dyDescent="0.25">
      <c r="A31" s="1"/>
      <c r="B31" s="33" t="s">
        <v>69</v>
      </c>
      <c r="C31" s="28"/>
      <c r="D31" s="19"/>
      <c r="E31" s="1"/>
    </row>
    <row r="32" spans="1:5" ht="15" customHeight="1" x14ac:dyDescent="0.25">
      <c r="A32" s="1"/>
      <c r="B32" s="31" t="s">
        <v>79</v>
      </c>
      <c r="C32" s="10">
        <v>0</v>
      </c>
      <c r="D32" s="11" t="s">
        <v>3</v>
      </c>
      <c r="E32" s="1"/>
    </row>
    <row r="33" spans="1:5" x14ac:dyDescent="0.25">
      <c r="A33" s="1"/>
      <c r="B33" s="33" t="s">
        <v>128</v>
      </c>
      <c r="C33" s="28"/>
      <c r="D33" s="19"/>
      <c r="E33" s="1"/>
    </row>
    <row r="34" spans="1:5" ht="15.4" customHeight="1" x14ac:dyDescent="0.25">
      <c r="A34" s="1"/>
      <c r="B34" s="31" t="s">
        <v>128</v>
      </c>
      <c r="C34" s="10">
        <v>0</v>
      </c>
      <c r="D34" s="11" t="s">
        <v>3</v>
      </c>
      <c r="E34" s="1"/>
    </row>
    <row r="35" spans="1:5" ht="15.4" customHeight="1" x14ac:dyDescent="0.25">
      <c r="A35" s="1"/>
      <c r="B35" s="30" t="s">
        <v>75</v>
      </c>
      <c r="C35" s="28"/>
      <c r="D35" s="19"/>
      <c r="E35" s="1"/>
    </row>
    <row r="36" spans="1:5" x14ac:dyDescent="0.25">
      <c r="A36" s="1"/>
      <c r="B36" s="67" t="s">
        <v>76</v>
      </c>
      <c r="C36" s="10">
        <v>0</v>
      </c>
      <c r="D36" s="11" t="s">
        <v>3</v>
      </c>
      <c r="E36" s="1"/>
    </row>
    <row r="37" spans="1:5" x14ac:dyDescent="0.25">
      <c r="A37" s="1"/>
      <c r="B37" s="30" t="s">
        <v>213</v>
      </c>
      <c r="C37" s="28"/>
      <c r="D37" s="19"/>
      <c r="E37" s="1"/>
    </row>
    <row r="38" spans="1:5" x14ac:dyDescent="0.25">
      <c r="A38" s="1"/>
      <c r="B38" s="67" t="s">
        <v>214</v>
      </c>
      <c r="C38" s="10">
        <v>1371572.4948873571</v>
      </c>
      <c r="D38" s="11" t="s">
        <v>3</v>
      </c>
      <c r="E38" s="1"/>
    </row>
    <row r="39" spans="1:5" x14ac:dyDescent="0.25">
      <c r="A39" s="1"/>
      <c r="B39" s="33" t="s">
        <v>65</v>
      </c>
      <c r="C39" s="45">
        <v>58723202.228550233</v>
      </c>
      <c r="D39" s="30" t="s">
        <v>3</v>
      </c>
      <c r="E39" s="1"/>
    </row>
    <row r="40" spans="1:5" ht="30" customHeight="1" x14ac:dyDescent="0.25">
      <c r="A40" s="1"/>
      <c r="B40" s="106" t="s">
        <v>227</v>
      </c>
      <c r="C40" s="106"/>
      <c r="D40" s="106"/>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ht="14.25" customHeight="1"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s="56" customFormat="1" hidden="1" x14ac:dyDescent="0.25"/>
    <row r="50" spans="1:5" s="56" customFormat="1" hidden="1" x14ac:dyDescent="0.25"/>
    <row r="51" spans="1:5" s="56" customFormat="1" hidden="1" x14ac:dyDescent="0.25"/>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sheetData>
  <sheetProtection algorithmName="SHA-512" hashValue="1GP4W+gukM8B9UMouUuER1AL1n2pvjm/jiND97t8/qQhilYxSj7uFlyZfcXF8Ncf17NNbSEDie6uDbiQGr3K7Q==" saltValue="32YOrWvfwnQn3nvSAnXwxA==" spinCount="100000" sheet="1" objects="1" scenarios="1"/>
  <mergeCells count="2">
    <mergeCell ref="B40:D40"/>
    <mergeCell ref="B3: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42578125" style="2" customWidth="1"/>
    <col min="5" max="5" width="5.28515625" style="2" customWidth="1"/>
    <col min="6" max="16384" width="9.140625" style="2" hidden="1"/>
  </cols>
  <sheetData>
    <row r="1" spans="1:5" ht="15" customHeight="1" x14ac:dyDescent="0.25">
      <c r="A1" s="1"/>
      <c r="B1" s="35"/>
      <c r="C1" s="35"/>
      <c r="D1" s="35"/>
      <c r="E1" s="1"/>
    </row>
    <row r="2" spans="1:5" ht="15" customHeight="1" x14ac:dyDescent="0.25">
      <c r="A2" s="1"/>
      <c r="B2" s="35"/>
      <c r="C2" s="35"/>
      <c r="D2" s="35"/>
      <c r="E2" s="1"/>
    </row>
    <row r="3" spans="1:5" ht="15" customHeight="1" x14ac:dyDescent="0.25">
      <c r="A3" s="1"/>
      <c r="B3" s="107" t="s">
        <v>56</v>
      </c>
      <c r="C3" s="107"/>
      <c r="D3" s="107"/>
      <c r="E3" s="1"/>
    </row>
    <row r="4" spans="1:5" ht="15" customHeight="1" x14ac:dyDescent="0.25">
      <c r="A4" s="1"/>
      <c r="B4" s="107"/>
      <c r="C4" s="107"/>
      <c r="D4" s="107"/>
      <c r="E4" s="1"/>
    </row>
    <row r="5" spans="1:5" ht="15" customHeight="1" x14ac:dyDescent="0.25">
      <c r="A5" s="1"/>
      <c r="B5" s="107"/>
      <c r="C5" s="107"/>
      <c r="D5" s="107"/>
      <c r="E5" s="1"/>
    </row>
    <row r="6" spans="1:5" ht="15" customHeight="1" x14ac:dyDescent="0.25">
      <c r="A6" s="1"/>
      <c r="B6" s="74"/>
      <c r="C6" s="74"/>
      <c r="D6" s="74"/>
      <c r="E6" s="1"/>
    </row>
    <row r="7" spans="1:5" x14ac:dyDescent="0.25">
      <c r="A7" s="1"/>
      <c r="B7" s="1"/>
      <c r="C7" s="1"/>
      <c r="D7" s="1"/>
      <c r="E7" s="1"/>
    </row>
    <row r="8" spans="1:5" x14ac:dyDescent="0.25">
      <c r="A8" s="1"/>
      <c r="B8" s="108" t="s">
        <v>123</v>
      </c>
      <c r="C8" s="109"/>
      <c r="D8" s="110"/>
      <c r="E8" s="1"/>
    </row>
    <row r="9" spans="1:5" x14ac:dyDescent="0.25">
      <c r="A9" s="1"/>
      <c r="B9" s="65" t="s">
        <v>88</v>
      </c>
      <c r="C9" s="23">
        <v>17785545.308587145</v>
      </c>
      <c r="D9" s="14" t="s">
        <v>3</v>
      </c>
      <c r="E9" s="1"/>
    </row>
    <row r="10" spans="1:5" x14ac:dyDescent="0.25">
      <c r="A10" s="1"/>
      <c r="B10" s="65" t="s">
        <v>125</v>
      </c>
      <c r="C10" s="23">
        <f>('Fane 3. Omkostninger i ØR2024'!C10+'Fane 3. Omkostninger i ØR2024'!C12+'Fane 3. Omkostninger i ØR2024'!C14)*(1+'Fane 15. Nøgletal'!C9)</f>
        <v>396055.18352063996</v>
      </c>
      <c r="D10" s="14" t="s">
        <v>3</v>
      </c>
      <c r="E10" s="1"/>
    </row>
    <row r="11" spans="1:5" x14ac:dyDescent="0.25">
      <c r="A11" s="1"/>
      <c r="B11" s="65" t="s">
        <v>131</v>
      </c>
      <c r="C11" s="23">
        <f>C9*'Fane 15. Nøgletal'!C21+C10*'Fane 15. Nøgletal'!C21</f>
        <v>363632.00984215568</v>
      </c>
      <c r="D11" s="14" t="s">
        <v>3</v>
      </c>
      <c r="E11" s="1"/>
    </row>
    <row r="12" spans="1:5" x14ac:dyDescent="0.25">
      <c r="A12" s="1"/>
      <c r="B12" s="33"/>
      <c r="C12" s="28"/>
      <c r="D12" s="19"/>
      <c r="E12" s="1"/>
    </row>
    <row r="13" spans="1:5" x14ac:dyDescent="0.25">
      <c r="A13" s="1"/>
      <c r="B13" s="1"/>
      <c r="C13" s="1"/>
      <c r="D13" s="1"/>
      <c r="E13" s="1"/>
    </row>
    <row r="14" spans="1:5" x14ac:dyDescent="0.25">
      <c r="A14" s="1"/>
      <c r="B14" s="108" t="s">
        <v>124</v>
      </c>
      <c r="C14" s="109"/>
      <c r="D14" s="110"/>
      <c r="E14" s="1"/>
    </row>
    <row r="15" spans="1:5" x14ac:dyDescent="0.25">
      <c r="A15" s="1"/>
      <c r="B15" s="65" t="s">
        <v>133</v>
      </c>
      <c r="C15" s="23">
        <f>(C9+C10-C11)*(1+'Fane 15. Nøgletal'!C9)</f>
        <v>19257660.335632693</v>
      </c>
      <c r="D15" s="14" t="s">
        <v>3</v>
      </c>
      <c r="E15" s="1"/>
    </row>
    <row r="16" spans="1:5" x14ac:dyDescent="0.25">
      <c r="A16" s="1"/>
      <c r="B16" s="65" t="s">
        <v>184</v>
      </c>
      <c r="C16" s="23">
        <f>('Fane 2.1. Økonomisk ramme 2025'!C10+'Fane 2.1. Økonomisk ramme 2025'!C12+'Fane 2.1. Økonomisk ramme 2025'!C14)*(1+'Fane 15. Nøgletal'!C10)</f>
        <v>341545.54630617006</v>
      </c>
      <c r="D16" s="14" t="s">
        <v>3</v>
      </c>
      <c r="E16" s="1"/>
    </row>
    <row r="17" spans="1:5" x14ac:dyDescent="0.25">
      <c r="A17" s="1"/>
      <c r="B17" s="65" t="s">
        <v>132</v>
      </c>
      <c r="C17" s="23">
        <f>C15*'Fane 15. Nøgletal'!C21+C16*'Fane 15. Nøgletal'!C21</f>
        <v>391984.11763877724</v>
      </c>
      <c r="D17" s="14" t="s">
        <v>3</v>
      </c>
      <c r="E17" s="1"/>
    </row>
    <row r="18" spans="1:5" x14ac:dyDescent="0.25">
      <c r="A18" s="1"/>
      <c r="B18" s="33"/>
      <c r="C18" s="28"/>
      <c r="D18" s="19"/>
      <c r="E18" s="1"/>
    </row>
    <row r="19" spans="1:5" x14ac:dyDescent="0.25">
      <c r="A19" s="1"/>
      <c r="B19" s="1"/>
      <c r="C19" s="63"/>
      <c r="D19" s="1"/>
      <c r="E19" s="1"/>
    </row>
    <row r="20" spans="1:5" x14ac:dyDescent="0.25">
      <c r="A20" s="1"/>
      <c r="B20" s="108" t="s">
        <v>145</v>
      </c>
      <c r="C20" s="109"/>
      <c r="D20" s="110"/>
      <c r="E20" s="1"/>
    </row>
    <row r="21" spans="1:5" x14ac:dyDescent="0.25">
      <c r="A21" s="1"/>
      <c r="B21" s="65" t="s">
        <v>189</v>
      </c>
      <c r="C21" s="23">
        <f>(C15+C16-C17)*(1+'Fane 15. Nøgletal'!C10)</f>
        <v>20480660.567273181</v>
      </c>
      <c r="D21" s="14" t="s">
        <v>3</v>
      </c>
      <c r="E21" s="1"/>
    </row>
    <row r="22" spans="1:5" x14ac:dyDescent="0.25">
      <c r="A22" s="1"/>
      <c r="B22" s="65" t="s">
        <v>196</v>
      </c>
      <c r="C22" s="23">
        <f>C21*'Fane 15. Nøgletal'!C21</f>
        <v>409613.21134546364</v>
      </c>
      <c r="D22" s="14" t="s">
        <v>3</v>
      </c>
      <c r="E22" s="1"/>
    </row>
    <row r="23" spans="1:5" x14ac:dyDescent="0.25">
      <c r="A23" s="1"/>
      <c r="B23" s="33"/>
      <c r="C23" s="28"/>
      <c r="D23" s="19"/>
      <c r="E23" s="1"/>
    </row>
    <row r="24" spans="1:5" x14ac:dyDescent="0.25">
      <c r="A24" s="1"/>
      <c r="B24" s="1"/>
      <c r="C24" s="1"/>
      <c r="D24" s="1"/>
      <c r="E24" s="1"/>
    </row>
    <row r="25" spans="1:5" x14ac:dyDescent="0.25">
      <c r="A25" s="1"/>
      <c r="B25" s="108" t="s">
        <v>187</v>
      </c>
      <c r="C25" s="109"/>
      <c r="D25" s="110"/>
      <c r="E25" s="1"/>
    </row>
    <row r="26" spans="1:5" x14ac:dyDescent="0.25">
      <c r="A26" s="1"/>
      <c r="B26" s="65" t="s">
        <v>190</v>
      </c>
      <c r="C26" s="23">
        <f>(C21-C22)*(1+'Fane 15. Nøgletal'!C10)</f>
        <v>21401757.795625724</v>
      </c>
      <c r="D26" s="14" t="s">
        <v>3</v>
      </c>
      <c r="E26" s="1"/>
    </row>
    <row r="27" spans="1:5" x14ac:dyDescent="0.25">
      <c r="A27" s="1"/>
      <c r="B27" s="65" t="s">
        <v>194</v>
      </c>
      <c r="C27" s="23">
        <f>C26*'Fane 15. Nøgletal'!C21</f>
        <v>428035.15591251448</v>
      </c>
      <c r="D27" s="14" t="s">
        <v>3</v>
      </c>
      <c r="E27" s="1"/>
    </row>
    <row r="28" spans="1:5" x14ac:dyDescent="0.25">
      <c r="A28" s="1"/>
      <c r="B28" s="33"/>
      <c r="C28" s="28"/>
      <c r="D28" s="19"/>
      <c r="E28" s="1"/>
    </row>
    <row r="29" spans="1:5" x14ac:dyDescent="0.25">
      <c r="A29" s="1"/>
      <c r="B29" s="1"/>
      <c r="C29" s="1"/>
      <c r="D29" s="1"/>
      <c r="E29" s="1"/>
    </row>
    <row r="30" spans="1:5" x14ac:dyDescent="0.25">
      <c r="A30" s="1"/>
      <c r="B30" s="108" t="s">
        <v>188</v>
      </c>
      <c r="C30" s="109"/>
      <c r="D30" s="110"/>
      <c r="E30" s="1"/>
    </row>
    <row r="31" spans="1:5" x14ac:dyDescent="0.25">
      <c r="A31" s="1"/>
      <c r="B31" s="65" t="s">
        <v>191</v>
      </c>
      <c r="C31" s="23">
        <f>(C26-C27)*(1+'Fane 15. Nøgletal'!C10)</f>
        <v>22364280.450726196</v>
      </c>
      <c r="D31" s="14" t="s">
        <v>3</v>
      </c>
      <c r="E31" s="1"/>
    </row>
    <row r="32" spans="1:5" x14ac:dyDescent="0.25">
      <c r="A32" s="1"/>
      <c r="B32" s="65" t="s">
        <v>195</v>
      </c>
      <c r="C32" s="23">
        <f>C31*'Fane 15. Nøgletal'!C21</f>
        <v>447285.60901452391</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tvN9OEA5wN/x1Q/M+JIRSMWQIJRkhsw6Rf9Gg2VTO5FW/WUuO8Sx0s/yfubjdIvn5duXvXtfumZslGGX1MfF1A==" saltValue="gzwG66Sh6faV4BsfCiKoRQ=="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8.140625" style="2" customWidth="1"/>
    <col min="3" max="3" width="11.7109375" style="2" customWidth="1"/>
    <col min="4" max="4" width="3.140625" style="2" customWidth="1"/>
    <col min="5" max="5" width="5.28515625" style="2" customWidth="1"/>
    <col min="6" max="16384" width="9.140625" style="2" hidden="1"/>
  </cols>
  <sheetData>
    <row r="1" spans="1:5" ht="14.25" customHeight="1" x14ac:dyDescent="0.35">
      <c r="A1" s="1"/>
      <c r="B1" s="69"/>
      <c r="C1" s="69"/>
      <c r="D1" s="69"/>
      <c r="E1" s="1"/>
    </row>
    <row r="2" spans="1:5" ht="15" customHeight="1" x14ac:dyDescent="0.35">
      <c r="A2" s="1"/>
      <c r="B2" s="69"/>
      <c r="C2" s="69"/>
      <c r="D2" s="69"/>
      <c r="E2" s="1"/>
    </row>
    <row r="3" spans="1:5" ht="15" customHeight="1" x14ac:dyDescent="0.25">
      <c r="A3" s="1"/>
      <c r="B3" s="111" t="s">
        <v>57</v>
      </c>
      <c r="C3" s="111"/>
      <c r="D3" s="111"/>
      <c r="E3" s="1"/>
    </row>
    <row r="4" spans="1:5" ht="15" customHeight="1" x14ac:dyDescent="0.25">
      <c r="A4" s="1"/>
      <c r="B4" s="111"/>
      <c r="C4" s="111"/>
      <c r="D4" s="111"/>
      <c r="E4" s="1"/>
    </row>
    <row r="5" spans="1:5" ht="15" customHeight="1" x14ac:dyDescent="0.25">
      <c r="A5" s="1"/>
      <c r="B5" s="111"/>
      <c r="C5" s="111"/>
      <c r="D5" s="111"/>
      <c r="E5" s="1"/>
    </row>
    <row r="6" spans="1:5" ht="15" customHeight="1" x14ac:dyDescent="0.35">
      <c r="A6" s="1"/>
      <c r="B6" s="69"/>
      <c r="C6" s="69"/>
      <c r="D6" s="69"/>
      <c r="E6" s="1"/>
    </row>
    <row r="7" spans="1:5" x14ac:dyDescent="0.25">
      <c r="A7" s="1"/>
      <c r="B7" s="1"/>
      <c r="C7" s="1"/>
      <c r="D7" s="1"/>
      <c r="E7" s="1"/>
    </row>
    <row r="8" spans="1:5" x14ac:dyDescent="0.25">
      <c r="A8" s="1"/>
      <c r="B8" s="108" t="s">
        <v>147</v>
      </c>
      <c r="C8" s="109"/>
      <c r="D8" s="110"/>
      <c r="E8" s="1"/>
    </row>
    <row r="9" spans="1:5" x14ac:dyDescent="0.25">
      <c r="A9" s="1"/>
      <c r="B9" s="65" t="s">
        <v>134</v>
      </c>
      <c r="C9" s="23">
        <v>38682225.682258338</v>
      </c>
      <c r="D9" s="14" t="s">
        <v>3</v>
      </c>
      <c r="E9" s="1"/>
    </row>
    <row r="10" spans="1:5" x14ac:dyDescent="0.25">
      <c r="A10" s="1"/>
      <c r="B10" s="65" t="s">
        <v>126</v>
      </c>
      <c r="C10" s="23">
        <f>('Fane 3. Omkostninger i ØR2024'!C11+'Fane 3. Omkostninger i ØR2024'!C13+'Fane 3. Omkostninger i ØR2024'!C15)*(1+'Fane 15. Nøgletal'!C9)</f>
        <v>1702837.18870272</v>
      </c>
      <c r="D10" s="14" t="s">
        <v>3</v>
      </c>
      <c r="E10" s="1"/>
    </row>
    <row r="11" spans="1:5" x14ac:dyDescent="0.25">
      <c r="A11" s="1"/>
      <c r="B11" s="65" t="s">
        <v>135</v>
      </c>
      <c r="C11" s="82">
        <f>SUM(C9:C10)*'Fane 15. Nøgletal'!C15</f>
        <v>0</v>
      </c>
      <c r="D11" s="14" t="s">
        <v>3</v>
      </c>
      <c r="E11" s="1"/>
    </row>
    <row r="12" spans="1:5" x14ac:dyDescent="0.25">
      <c r="A12" s="1"/>
      <c r="B12" s="33"/>
      <c r="C12" s="28"/>
      <c r="D12" s="19"/>
      <c r="E12" s="1"/>
    </row>
    <row r="13" spans="1:5" x14ac:dyDescent="0.25">
      <c r="A13" s="1"/>
      <c r="B13" s="1"/>
      <c r="C13" s="1"/>
      <c r="D13" s="1"/>
      <c r="E13" s="1"/>
    </row>
    <row r="14" spans="1:5" x14ac:dyDescent="0.25">
      <c r="A14" s="1"/>
      <c r="B14" s="108" t="s">
        <v>146</v>
      </c>
      <c r="C14" s="109"/>
      <c r="D14" s="110"/>
      <c r="E14" s="1"/>
    </row>
    <row r="15" spans="1:5" x14ac:dyDescent="0.25">
      <c r="A15" s="1"/>
      <c r="B15" s="65" t="s">
        <v>136</v>
      </c>
      <c r="C15" s="23">
        <f>(C9+C10-C11)*(1+'Fane 15. Nøgletal'!C9)</f>
        <v>43648175.950934708</v>
      </c>
      <c r="D15" s="14" t="s">
        <v>3</v>
      </c>
      <c r="E15" s="1"/>
    </row>
    <row r="16" spans="1:5" x14ac:dyDescent="0.25">
      <c r="A16" s="1"/>
      <c r="B16" s="65" t="s">
        <v>185</v>
      </c>
      <c r="C16" s="23">
        <f>('Fane 2.1. Økonomisk ramme 2025'!C11+'Fane 2.1. Økonomisk ramme 2025'!C13+'Fane 2.1. Økonomisk ramme 2025'!C15)*(1+'Fane 15. Nøgletal'!C10)</f>
        <v>66785.989834909997</v>
      </c>
      <c r="D16" s="14" t="s">
        <v>3</v>
      </c>
      <c r="E16" s="1"/>
    </row>
    <row r="17" spans="1:5" x14ac:dyDescent="0.25">
      <c r="A17" s="1"/>
      <c r="B17" s="65" t="s">
        <v>137</v>
      </c>
      <c r="C17" s="82">
        <f>(C15)*'Fane 15. Nøgletal'!C15+C16*'Fane 15. Nøgletal'!C16</f>
        <v>0</v>
      </c>
      <c r="D17" s="14" t="s">
        <v>3</v>
      </c>
      <c r="E17" s="1"/>
    </row>
    <row r="18" spans="1:5" x14ac:dyDescent="0.25">
      <c r="A18" s="1"/>
      <c r="B18" s="33"/>
      <c r="C18" s="28"/>
      <c r="D18" s="19"/>
      <c r="E18" s="1"/>
    </row>
    <row r="19" spans="1:5" x14ac:dyDescent="0.25">
      <c r="A19" s="1"/>
      <c r="B19" s="1"/>
      <c r="C19" s="1"/>
      <c r="D19" s="1"/>
      <c r="E19" s="1"/>
    </row>
    <row r="20" spans="1:5" x14ac:dyDescent="0.25">
      <c r="A20" s="1"/>
      <c r="B20" s="108" t="s">
        <v>82</v>
      </c>
      <c r="C20" s="109"/>
      <c r="D20" s="110"/>
      <c r="E20" s="1"/>
    </row>
    <row r="21" spans="1:5" x14ac:dyDescent="0.25">
      <c r="A21" s="1"/>
      <c r="B21" s="65" t="s">
        <v>192</v>
      </c>
      <c r="C21" s="23">
        <f>(C15+C16-C17)*(1+'Fane 15. Nøgletal'!C10)</f>
        <v>46613263.91744265</v>
      </c>
      <c r="D21" s="14" t="s">
        <v>3</v>
      </c>
      <c r="E21" s="1"/>
    </row>
    <row r="22" spans="1:5" x14ac:dyDescent="0.25">
      <c r="A22" s="1"/>
      <c r="B22" s="65" t="s">
        <v>197</v>
      </c>
      <c r="C22" s="82">
        <f>C21*'Fane 15. Nøgletal'!C16</f>
        <v>0</v>
      </c>
      <c r="D22" s="14" t="s">
        <v>3</v>
      </c>
      <c r="E22" s="1"/>
    </row>
    <row r="23" spans="1:5" x14ac:dyDescent="0.25">
      <c r="A23" s="1"/>
      <c r="B23" s="33"/>
      <c r="C23" s="28"/>
      <c r="D23" s="19"/>
      <c r="E23" s="1"/>
    </row>
    <row r="24" spans="1:5" x14ac:dyDescent="0.25">
      <c r="A24" s="1"/>
      <c r="B24" s="1"/>
      <c r="C24" s="1"/>
      <c r="D24" s="1"/>
      <c r="E24" s="1"/>
    </row>
    <row r="25" spans="1:5" x14ac:dyDescent="0.25">
      <c r="A25" s="1"/>
      <c r="B25" s="108" t="s">
        <v>138</v>
      </c>
      <c r="C25" s="109"/>
      <c r="D25" s="110"/>
      <c r="E25" s="1"/>
    </row>
    <row r="26" spans="1:5" x14ac:dyDescent="0.25">
      <c r="A26" s="1"/>
      <c r="B26" s="65" t="s">
        <v>193</v>
      </c>
      <c r="C26" s="23">
        <f>(C21-C22)*(1+'Fane 15. Nøgletal'!C10)</f>
        <v>49703723.315169096</v>
      </c>
      <c r="D26" s="14" t="s">
        <v>3</v>
      </c>
      <c r="E26" s="1"/>
    </row>
    <row r="27" spans="1:5" x14ac:dyDescent="0.25">
      <c r="A27" s="1"/>
      <c r="B27" s="65" t="s">
        <v>198</v>
      </c>
      <c r="C27" s="82">
        <f>C26*'Fane 15. Nøgletal'!C16</f>
        <v>0</v>
      </c>
      <c r="D27" s="14" t="s">
        <v>3</v>
      </c>
      <c r="E27" s="1"/>
    </row>
    <row r="28" spans="1:5" x14ac:dyDescent="0.25">
      <c r="A28" s="1"/>
      <c r="B28" s="33"/>
      <c r="C28" s="28"/>
      <c r="D28" s="19"/>
      <c r="E28" s="1"/>
    </row>
    <row r="29" spans="1:5" x14ac:dyDescent="0.25">
      <c r="A29" s="1"/>
      <c r="B29" s="1"/>
      <c r="C29" s="1"/>
      <c r="D29" s="1"/>
      <c r="E29" s="1"/>
    </row>
    <row r="30" spans="1:5" x14ac:dyDescent="0.25">
      <c r="A30" s="1"/>
      <c r="B30" s="108" t="s">
        <v>163</v>
      </c>
      <c r="C30" s="109"/>
      <c r="D30" s="110"/>
      <c r="E30" s="1"/>
    </row>
    <row r="31" spans="1:5" x14ac:dyDescent="0.25">
      <c r="A31" s="1"/>
      <c r="B31" s="65" t="s">
        <v>200</v>
      </c>
      <c r="C31" s="23">
        <f>(C26-C27)*(1+'Fane 15. Nøgletal'!C10)</f>
        <v>52999080.170964807</v>
      </c>
      <c r="D31" s="14" t="s">
        <v>3</v>
      </c>
      <c r="E31" s="1"/>
    </row>
    <row r="32" spans="1:5" x14ac:dyDescent="0.25">
      <c r="A32" s="1"/>
      <c r="B32" s="65" t="s">
        <v>199</v>
      </c>
      <c r="C32" s="82">
        <f>C31*'Fane 15. Nøgletal'!C16</f>
        <v>0</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VU+yDcoZCtv6nonvNyEFHso8hY1W3/srWlBHfvHrETdOOrbsSW/DyHjalWvHUJJ1u+wVJ9SNivWWKEimDi8OZA==" saltValue="jPAzT2UzCl4GvTKkvJ+ITA=="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4" t="s">
        <v>44</v>
      </c>
      <c r="C3" s="104"/>
      <c r="D3" s="1"/>
    </row>
    <row r="4" spans="1:4" ht="15" customHeight="1" x14ac:dyDescent="0.25">
      <c r="A4" s="1"/>
      <c r="B4" s="104"/>
      <c r="C4" s="10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08" t="s">
        <v>10</v>
      </c>
      <c r="C8" s="110"/>
      <c r="D8" s="1"/>
    </row>
    <row r="9" spans="1:4" x14ac:dyDescent="0.25">
      <c r="A9" s="1"/>
      <c r="B9" s="65" t="s">
        <v>164</v>
      </c>
      <c r="C9" s="22">
        <v>0</v>
      </c>
      <c r="D9" s="1"/>
    </row>
    <row r="10" spans="1:4" x14ac:dyDescent="0.25">
      <c r="A10" s="1"/>
      <c r="B10" s="33"/>
      <c r="C10" s="19"/>
      <c r="D10" s="1"/>
    </row>
    <row r="11" spans="1:4" x14ac:dyDescent="0.25">
      <c r="A11" s="1"/>
      <c r="B11" s="112" t="s">
        <v>220</v>
      </c>
      <c r="C11" s="113"/>
      <c r="D11" s="1"/>
    </row>
    <row r="12" spans="1:4" x14ac:dyDescent="0.25">
      <c r="A12" s="1"/>
      <c r="B12" s="114"/>
      <c r="C12" s="115"/>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sheetData>
  <sheetProtection algorithmName="SHA-512" hashValue="k5c6NBWLe4RI1Baw2j+aEHFuRSce5MmjmuHi0Cs2TYFuTDXp+6T6FPKU5RbUerjSVgM+aNzODLZNyYz4HY7xpA==" saltValue="vafnCVgA98mArLdFYM4Cgw=="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Korrektion af ØR2023</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Anton Bay Andersen</cp:lastModifiedBy>
  <cp:lastPrinted>2024-05-06T07:45:39Z</cp:lastPrinted>
  <dcterms:created xsi:type="dcterms:W3CDTF">2016-06-02T08:51:18Z</dcterms:created>
  <dcterms:modified xsi:type="dcterms:W3CDTF">2024-08-16T10:57:02Z</dcterms:modified>
</cp:coreProperties>
</file>