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rederikshavn Spildevand AS (S025)\ØR2024\"/>
    </mc:Choice>
  </mc:AlternateContent>
  <xr:revisionPtr revIDLastSave="0" documentId="13_ncr:1_{336F8666-83E6-4CDB-AC0F-E09ACD5BBA8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1" iterateCount="1"/>
</workbook>
</file>

<file path=xl/calcChain.xml><?xml version="1.0" encoding="utf-8"?>
<calcChain xmlns="http://schemas.openxmlformats.org/spreadsheetml/2006/main">
  <c r="E16" i="44" l="1"/>
  <c r="E18" i="44" s="1"/>
  <c r="E17" i="44"/>
  <c r="E25" i="44" l="1"/>
  <c r="E29" i="44" s="1"/>
  <c r="E31" i="44" s="1"/>
  <c r="C20" i="19"/>
  <c r="C32" i="2" l="1"/>
  <c r="C20" i="15"/>
  <c r="C9" i="2"/>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1" i="19"/>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C39"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<sst xmlns="http://schemas.openxmlformats.org/spreadsheetml/2006/main" count="660" uniqueCount="295">
  <si>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</si>
  <si>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</si>
  <si>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</si>
  <si>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</si>
  <si>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</si>
  <si>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</si>
  <si>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</si>
  <si>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</si>
  <si>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</si>
  <si>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</si>
  <si>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</si>
  <si>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</si>
  <si>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</si>
  <si>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</si>
  <si>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</si>
  <si>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</si>
  <si>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</si>
  <si>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</si>
  <si>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</si>
  <si>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</si>
  <si>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</si>
  <si>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</si>
  <si>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</si>
  <si>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</si>
  <si>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</si>
  <si>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</si>
  <si>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</si>
  <si>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</si>
  <si>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</si>
  <si>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</si>
  <si>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</si>
  <si>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</si>
  <si>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</si>
  <si>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</si>
  <si>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</si>
  <si>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</si>
  <si>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</si>
  <si>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</si>
  <si>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</si>
  <si>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</si>
  <si>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</si>
  <si>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</si>
  <si>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</si>
  <si>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</si>
  <si>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</si>
  <si>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</si>
  <si>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</si>
  <si>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</si>
  <si>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</si>
  <si>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</si>
  <si>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</si>
  <si>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</si>
  <si>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</si>
  <si>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</si>
  <si>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</si>
  <si>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</si>
  <si>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</si>
  <si>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</si>
  <si>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</si>
  <si>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</si>
  <si>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</si>
  <si>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</si>
  <si>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</si>
  <si>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</si>
  <si>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</si>
  <si>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</si>
  <si>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</si>
  <si>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</si>
  <si>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</si>
  <si>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</si>
  <si>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</si>
  <si>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</si>
  <si>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</si>
  <si>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</si>
  <si>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</si>
  <si>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</si>
  <si>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</si>
  <si>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</si>
  <si>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</si>
  <si>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</si>
  <si>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</si>
  <si>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</si>
  <si>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</si>
  <si>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</si>
  <si>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</si>
  <si>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</si>
  <si>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</si>
  <si>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</si>
  <si>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</si>
  <si>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</si>
  <si>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</si>
  <si>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</si>
  <si>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</si>
  <si>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</si>
  <si>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</si>
  <si>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</si>
  <si>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</si>
  <si>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</si>
  <si>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</si>
  <si>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</si>
  <si>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</si>
  <si>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</si>
  <si>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</si>
  <si>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</si>
  <si>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</si>
  <si>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</si>
  <si>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</si>
  <si>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</si>
  <si>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</si>
  <si>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</si>
  <si>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</si>
  <si>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</si>
  <si>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</si>
  <si>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</si>
  <si>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</si>
  <si>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</si>
  <si>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</si>
  <si>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</si>
  <si>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</si>
  <si>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</si>
  <si>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</si>
  <si>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</si>
  <si>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</si>
  <si>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</si>
  <si>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</si>
  <si>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</si>
  <si>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</si>
  <si>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</si>
  <si>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</si>
  <si>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</si>
  <si>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</si>
  <si>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</si>
  <si>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</si>
  <si>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</si>
  <si>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</si>
  <si>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</si>
  <si>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</si>
  <si>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</si>
  <si>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</si>
  <si>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</si>
  <si>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</si>
  <si>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</si>
  <si>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</si>
  <si>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</si>
  <si>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</si>
  <si>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</si>
  <si>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</si>
  <si>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</si>
  <si>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</si>
  <si>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</si>
  <si>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</si>
  <si>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</si>
  <si>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</si>
  <si>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</si>
  <si>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</si>
  <si>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</si>
  <si>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</si>
  <si>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</si>
  <si>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</si>
  <si>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</si>
  <si>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</si>
  <si>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</si>
  <si>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</si>
  <si>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</si>
  <si>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</si>
  <si>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</si>
  <si>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</si>
  <si>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</si>
  <si>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</si>
  <si>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</si>
  <si>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</si>
  <si>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</si>
  <si>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</si>
  <si>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</si>
  <si>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</si>
  <si>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</si>
  <si>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</si>
  <si>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</si>
  <si>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</si>
  <si>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</si>
  <si>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</si>
  <si>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</si>
  <si>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</si>
  <si>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</si>
  <si>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</si>
  <si>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</si>
  <si>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</si>
  <si>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</si>
  <si>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</si>
  <si>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</si>
  <si>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</si>
  <si>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</si>
  <si>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</si>
  <si>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</si>
  <si>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</si>
  <si>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</si>
  <si>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</si>
  <si>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</si>
  <si>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</si>
  <si>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</si>
  <si>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</si>
  <si>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</si>
  <si>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</si>
  <si>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</si>
  <si>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</si>
  <si>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</si>
  <si>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</si>
  <si>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</si>
  <si>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</si>
  <si>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</si>
  <si>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</si>
  <si>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</si>
  <si>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</si>
  <si>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</si>
  <si>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</si>
  <si>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</si>
  <si>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</si>
  <si>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</si>
  <si>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</si>
  <si>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</si>
  <si>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</si>
  <si>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</si>
  <si>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</si>
  <si>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</si>
  <si>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</si>
  <si>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</si>
  <si>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</si>
  <si>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</si>
  <si>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</si>
  <si>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</si>
  <si>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</si>
  <si>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</si>
  <si>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</si>
  <si>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</si>
  <si>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</si>
  <si>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</si>
  <si>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</si>
  <si>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</si>
  <si>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</si>
  <si>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</si>
  <si>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</si>
  <si>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</si>
  <si>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</si>
  <si>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</si>
  <si>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</si>
  <si>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</si>
  <si>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</si>
  <si>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</si>
  <si>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</si>
  <si>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</si>
  <si>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</si>
  <si>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</si>
  <si>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</si>
  <si>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</si>
  <si>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</si>
  <si>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</si>
  <si>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</si>
  <si>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</si>
  <si>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</si>
  <si>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</si>
  <si>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</si>
  <si>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</si>
  <si>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</si>
  <si>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</si>
  <si>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</si>
  <si>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</si>
  <si>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</si>
  <si>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</si>
  <si>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</si>
  <si>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</si>
  <si>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</si>
  <si>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</si>
  <si>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</si>
  <si>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</si>
  <si>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</si>
  <si>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</si>
  <si>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Erstatninger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</si>
  <si>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</si>
  <si>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</si>
  <si>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</si>
  <si>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</si>
  <si>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</si>
  <si>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</si>
  <si>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</si>
  <si>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</si>
  <si>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</si>
  <si>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</si>
  <si>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</si>
  <si>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</si>
  <si>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Separat kloakering</t>
  </si>
  <si>
    <t>Udløbsspildevandsledning</t>
  </si>
  <si>
    <t>Byggemodninger</t>
  </si>
  <si>
    <t>Trykledning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</si>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</sst>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67"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RoTol4PTEJWzO/kQ6GpmV9/3KpcjaeebKbjnIuhEjDjIBqNYy8rag1AtUezTw2e89RwQDy/PmeCw/p08SCucfg==" saltValue="IfYUvvUIQRIewwtMsZR24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272</v>
      </c>
      <c r="C10" s="9">
        <v>3929273</v>
      </c>
      <c r="D10" s="14" t="s">
        <v>3</v>
      </c>
      <c r="E10" s="1"/>
      <c r="F10" s="1"/>
    </row>
    <row r="11" spans="1:6" ht="15" customHeight="1" x14ac:dyDescent="0.25">
      <c r="A11" s="1"/>
      <c r="B11" s="81" t="s">
        <v>273</v>
      </c>
      <c r="C11" s="9">
        <v>144823</v>
      </c>
      <c r="D11" s="14" t="s">
        <v>3</v>
      </c>
      <c r="E11" s="1"/>
      <c r="F11" s="1"/>
    </row>
    <row r="12" spans="1:6" ht="26.25" x14ac:dyDescent="0.25">
      <c r="A12" s="1"/>
      <c r="B12" s="29" t="s">
        <v>274</v>
      </c>
      <c r="C12" s="9">
        <v>851963</v>
      </c>
      <c r="D12" s="14" t="s">
        <v>3</v>
      </c>
      <c r="E12" s="1"/>
      <c r="F12" s="1"/>
    </row>
    <row r="13" spans="1:6" x14ac:dyDescent="0.25">
      <c r="A13" s="1"/>
      <c r="B13" s="81" t="s">
        <v>275</v>
      </c>
      <c r="C13" s="9">
        <v>179431</v>
      </c>
      <c r="D13" s="14" t="s">
        <v>3</v>
      </c>
      <c r="E13" s="1"/>
      <c r="F13" s="1"/>
    </row>
    <row r="14" spans="1:6" x14ac:dyDescent="0.25">
      <c r="A14" s="1"/>
      <c r="B14" s="81" t="s">
        <v>276</v>
      </c>
      <c r="C14" s="9">
        <v>67122.600000000006</v>
      </c>
      <c r="D14" s="14" t="s">
        <v>3</v>
      </c>
      <c r="E14" s="1"/>
      <c r="F14" s="1"/>
    </row>
    <row r="15" spans="1:6" x14ac:dyDescent="0.25">
      <c r="A15" s="1"/>
      <c r="B15" s="81"/>
      <c r="C15" s="9"/>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5172612.5999999996</v>
      </c>
      <c r="D20" s="13" t="s">
        <v>3</v>
      </c>
      <c r="E20" s="1"/>
      <c r="F20" s="1"/>
    </row>
    <row r="21" spans="1:6" x14ac:dyDescent="0.25">
      <c r="A21" s="1"/>
      <c r="B21" s="33" t="s">
        <v>227</v>
      </c>
      <c r="C21" s="12">
        <f>C20*(1+'Fane 15. Nøgletal'!C16)^2</f>
        <v>6042276.921684863</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ig430XHi5rUbprzjVWaHKEFLHxEWTo7A3+qn3gW56B2NOV+PcvXfJP3K+AFSpvCAo0ZFFuruqCf6Ms8JX5hOqw==" saltValue="gAOC39RE8H4zytfPlrpW8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6DF0-5F24-44AC-B3B8-B48E184B0C4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277</v>
      </c>
      <c r="C9" s="121"/>
      <c r="D9" s="122"/>
      <c r="E9" s="9">
        <v>14961894</v>
      </c>
      <c r="F9" s="14" t="s">
        <v>3</v>
      </c>
      <c r="G9" s="1"/>
    </row>
    <row r="10" spans="1:7" ht="15" customHeight="1" x14ac:dyDescent="0.25">
      <c r="A10" s="1"/>
      <c r="B10" s="120" t="s">
        <v>143</v>
      </c>
      <c r="C10" s="121"/>
      <c r="D10" s="122"/>
      <c r="E10" s="9">
        <v>3340575</v>
      </c>
      <c r="F10" s="14" t="s">
        <v>3</v>
      </c>
      <c r="G10" s="1"/>
    </row>
    <row r="11" spans="1:7" ht="15" customHeight="1" x14ac:dyDescent="0.25">
      <c r="A11" s="1"/>
      <c r="B11" s="120" t="s">
        <v>278</v>
      </c>
      <c r="C11" s="121"/>
      <c r="D11" s="122"/>
      <c r="E11" s="9">
        <v>1030117</v>
      </c>
      <c r="F11" s="14" t="s">
        <v>3</v>
      </c>
      <c r="G11" s="1"/>
    </row>
    <row r="12" spans="1:7" x14ac:dyDescent="0.25">
      <c r="A12" s="1"/>
      <c r="B12" s="33"/>
      <c r="C12" s="28"/>
      <c r="D12" s="28"/>
      <c r="E12" s="28"/>
      <c r="F12" s="19"/>
      <c r="G12" s="1"/>
    </row>
    <row r="13" spans="1:7" ht="42" customHeight="1" x14ac:dyDescent="0.25">
      <c r="A13" s="1"/>
      <c r="B13" s="114" t="s">
        <v>279</v>
      </c>
      <c r="C13" s="115"/>
      <c r="D13" s="115"/>
      <c r="E13" s="115"/>
      <c r="F13" s="116"/>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0</v>
      </c>
      <c r="F16" s="14" t="s">
        <v>3</v>
      </c>
      <c r="G16" s="1"/>
    </row>
    <row r="17" spans="1:7" x14ac:dyDescent="0.25">
      <c r="A17" s="1"/>
      <c r="B17" s="78" t="s">
        <v>282</v>
      </c>
      <c r="C17" s="79"/>
      <c r="D17" s="80"/>
      <c r="E17" s="9">
        <f>IF(SUM(E10)&gt;0,SUM(E10),0)</f>
        <v>3340575</v>
      </c>
      <c r="F17" s="14" t="s">
        <v>3</v>
      </c>
      <c r="G17" s="1"/>
    </row>
    <row r="18" spans="1:7" x14ac:dyDescent="0.25">
      <c r="A18" s="1"/>
      <c r="B18" s="82" t="s">
        <v>283</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158940214</v>
      </c>
      <c r="F22" s="14" t="s">
        <v>3</v>
      </c>
      <c r="G22" s="1"/>
    </row>
    <row r="23" spans="1:7" x14ac:dyDescent="0.25">
      <c r="A23" s="1"/>
      <c r="B23" s="78" t="s">
        <v>286</v>
      </c>
      <c r="C23" s="79"/>
      <c r="D23" s="80"/>
      <c r="E23" s="9">
        <v>161059124</v>
      </c>
      <c r="F23" s="14" t="s">
        <v>3</v>
      </c>
      <c r="G23" s="1"/>
    </row>
    <row r="24" spans="1:7" x14ac:dyDescent="0.25">
      <c r="A24" s="1"/>
      <c r="B24" s="78" t="s">
        <v>30</v>
      </c>
      <c r="C24" s="79"/>
      <c r="D24" s="80"/>
      <c r="E24" s="9">
        <v>0</v>
      </c>
      <c r="F24" s="14" t="s">
        <v>3</v>
      </c>
      <c r="G24" s="1"/>
    </row>
    <row r="25" spans="1:7" x14ac:dyDescent="0.25">
      <c r="A25" s="1"/>
      <c r="B25" s="82" t="s">
        <v>287</v>
      </c>
      <c r="C25" s="83"/>
      <c r="D25" s="84"/>
      <c r="E25" s="62">
        <f>E22-E23-E24</f>
        <v>-2118910</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288</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-1088793</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-544396.5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U958FcbxL7QtuhOMHDzvopSYn22ucWXpgUMQIlXDWCZgR7/4KamBqMET8VQzNiDsFQUvoPCMyoRowT7tH6HWJg==" saltValue="dGpol5h05MCgmLe4he7Glg=="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7AR7SnVh4tgjZyPYFmN/si2BoGNZFHZXZwJxY0vxfrmG31GAirbMeU1fCqz/WAVOToLXPVQbklVQD6FfzAlQw==" saltValue="VOwL4DRgmL4LjSRfgmyabQ=="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HMglt/8tbOHAme7Xqtm1uTWps/7oOuJOEUw0GPtIhATtIG0zuVtN/ipNJnofvr/25Le67p2cva3z6jgsF2p1A==" saltValue="s+XvDocwzz1uNNMVv1hcF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ht="14.25" customHeight="1"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MpRsSkSXTM592UrChshMR4w1oYElwyYdmM23FDxX0v3/KdzSu+0Lb6Ftxa8IYlQrgzFHicYBVbo6oQMUswItxA==" saltValue="IANMoseFvDBLd7kTrDk/N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0</v>
      </c>
      <c r="D11" s="14" t="s">
        <v>3</v>
      </c>
      <c r="E11" s="9">
        <v>541119</v>
      </c>
      <c r="F11" s="14" t="s">
        <v>3</v>
      </c>
      <c r="G11" s="1"/>
    </row>
    <row r="12" spans="1:7" x14ac:dyDescent="0.25">
      <c r="A12" s="1"/>
      <c r="B12" s="24" t="s">
        <v>290</v>
      </c>
      <c r="C12" s="21">
        <v>0</v>
      </c>
      <c r="D12" s="14" t="s">
        <v>3</v>
      </c>
      <c r="E12" s="9">
        <v>418014</v>
      </c>
      <c r="F12" s="14" t="s">
        <v>3</v>
      </c>
      <c r="G12" s="1"/>
    </row>
    <row r="13" spans="1:7" x14ac:dyDescent="0.25">
      <c r="A13" s="1"/>
      <c r="B13" s="24" t="s">
        <v>291</v>
      </c>
      <c r="C13" s="21">
        <v>108208</v>
      </c>
      <c r="D13" s="14" t="s">
        <v>3</v>
      </c>
      <c r="E13" s="9">
        <v>118469</v>
      </c>
      <c r="F13" s="14" t="s">
        <v>3</v>
      </c>
      <c r="G13" s="1"/>
    </row>
    <row r="14" spans="1:7" x14ac:dyDescent="0.25">
      <c r="A14" s="1"/>
      <c r="B14" s="24" t="s">
        <v>292</v>
      </c>
      <c r="C14" s="21">
        <v>0</v>
      </c>
      <c r="D14" s="14" t="s">
        <v>3</v>
      </c>
      <c r="E14" s="9">
        <v>17933</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108208</v>
      </c>
      <c r="D19" s="13" t="s">
        <v>3</v>
      </c>
      <c r="E19" s="12">
        <f>SUM(E10:E18)</f>
        <v>1095535</v>
      </c>
      <c r="F19" s="13" t="s">
        <v>3</v>
      </c>
      <c r="G19" s="1"/>
    </row>
    <row r="20" spans="1:7" x14ac:dyDescent="0.25">
      <c r="A20" s="1"/>
      <c r="B20" s="33" t="s">
        <v>233</v>
      </c>
      <c r="C20" s="12">
        <f>C19*(1+'Fane 15. Nøgletal'!C16)</f>
        <v>116951.2064</v>
      </c>
      <c r="D20" s="13" t="s">
        <v>3</v>
      </c>
      <c r="E20" s="12">
        <f>E19*(1+'Fane 15. Nøgletal'!C16)</f>
        <v>1184054.2279999999</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G42Og/mMnMwbmH+H76EvEvKllgRPsGeARXBWkVOvBGGqoAIS5Js+v7ZECbET0zgzvnvMbZuAnvRQDrukLJcow==" saltValue="AYAmWQW4rm0/V+w3x8ahW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aON3IEEmQOkaPqMc3rXPTPIya8p0VvJXtmg/WSvbfioHObXnaDvrfBvi3+z7eFprlneg+J9IgquKlxPlZ60Ng==" saltValue="/GD3c4YvthE6d/B+6MJXP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7IcG99qF8mknypTyLkN+0or5OBkAHmXlo2g5g9oS/MvSJC6P59/bupAjj21+uqzGVb4Whd5KPXgngF7pNKsGA==" saltValue="1BVMB5qEmZ81tnUGLIwqf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qDPqDNuU0+e/88T9FPEkoWUz7uYs1GSelxTxxEc1OMuKKLT7gOMUd6ddBJrSmZOHGvWmOcdtDywDgpTsfadQg==" saltValue="a25bKI3VL6u+4hgozim8z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pDWbFV0ks/yGyQ0ocY5kiOwuQRP3ICgjgNzqnux+2gjfmtcssRfheD4mdl9/dSipQURshdtOLHlaWhfLZvnyw==" saltValue="UM6qi0WgWHSnufeWUf9A1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153360774.56520805</v>
      </c>
      <c r="D9" s="8" t="s">
        <v>3</v>
      </c>
      <c r="E9" s="1"/>
    </row>
    <row r="10" spans="1:5" ht="17.25" customHeight="1" x14ac:dyDescent="0.25">
      <c r="A10" s="1"/>
      <c r="B10" s="88" t="s">
        <v>36</v>
      </c>
      <c r="C10" s="7">
        <f>'Fane 11.1. Varige tillæg'!C20</f>
        <v>116951.2064</v>
      </c>
      <c r="D10" s="8" t="s">
        <v>3</v>
      </c>
      <c r="E10" s="1"/>
    </row>
    <row r="11" spans="1:5" ht="17.25" customHeight="1" x14ac:dyDescent="0.25">
      <c r="A11" s="1"/>
      <c r="B11" s="88" t="s">
        <v>37</v>
      </c>
      <c r="C11" s="9">
        <f>'Fane 11.1. Varige tillæg'!E20</f>
        <v>1184054.2279999999</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12496671.823968329</v>
      </c>
      <c r="D16" s="8" t="s">
        <v>3</v>
      </c>
      <c r="E16" s="1"/>
    </row>
    <row r="17" spans="1:5" ht="17.25" customHeight="1" x14ac:dyDescent="0.25">
      <c r="A17" s="1"/>
      <c r="B17" s="88" t="s">
        <v>10</v>
      </c>
      <c r="C17" s="41">
        <f>-SUM(C9,C10:C16)*'Fane 5. Individuelt eff. krav'!G9</f>
        <v>0</v>
      </c>
      <c r="D17" s="8" t="s">
        <v>3</v>
      </c>
      <c r="E17" s="1"/>
    </row>
    <row r="18" spans="1:5" ht="17.25" customHeight="1" x14ac:dyDescent="0.25">
      <c r="A18" s="1"/>
      <c r="B18" s="88" t="s">
        <v>23</v>
      </c>
      <c r="C18" s="41">
        <f>-'Fane 4.1. Gen. krav - drift'!G54</f>
        <v>-1106946.514173022</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166051505.30940333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6042276.921684863</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Engangstillæg'!C14</f>
        <v>0</v>
      </c>
      <c r="D26" s="8" t="s">
        <v>3</v>
      </c>
      <c r="E26" s="1"/>
    </row>
    <row r="27" spans="1:5" ht="15" customHeight="1" x14ac:dyDescent="0.25">
      <c r="A27" s="1"/>
      <c r="B27" s="88" t="s">
        <v>70</v>
      </c>
      <c r="C27" s="41">
        <f>'Fane 11.2. Engangstillæg'!E14</f>
        <v>0</v>
      </c>
      <c r="D27" s="8" t="s">
        <v>3</v>
      </c>
      <c r="E27" s="1"/>
    </row>
    <row r="28" spans="1:5" ht="15" customHeight="1" x14ac:dyDescent="0.25">
      <c r="A28" s="1"/>
      <c r="B28" s="88" t="s">
        <v>161</v>
      </c>
      <c r="C28" s="41">
        <f>-C26*('Fane 15. Nøgletal'!C33+'Fane 5. Individuelt eff. krav'!G9)</f>
        <v>0</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-544396.5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293</v>
      </c>
      <c r="C37" s="28"/>
      <c r="D37" s="19"/>
      <c r="E37" s="1"/>
    </row>
    <row r="38" spans="1:5" x14ac:dyDescent="0.25">
      <c r="A38" s="1"/>
      <c r="B38" s="70" t="s">
        <v>294</v>
      </c>
      <c r="C38" s="10">
        <v>11107820.290284244</v>
      </c>
      <c r="D38" s="11" t="s">
        <v>3</v>
      </c>
      <c r="E38" s="1"/>
    </row>
    <row r="39" spans="1:5" x14ac:dyDescent="0.25">
      <c r="A39" s="1"/>
      <c r="B39" s="33" t="s">
        <v>108</v>
      </c>
      <c r="C39" s="49">
        <f>SUM(C34,C32,C24,C30,C22,C20,C36,C38)</f>
        <v>182657206.02137244</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ZZ2D0TkBhDUkRfybNGEoRhItOitS08elc+rkJeSOKm17Yw1DfHK+rgq/TkakzxpdKyQmryWz34JhNvHEu8zAA==" saltValue="0hMEyQX8V2BOG1HvAPfY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8LhYaWUOjg/fkvqOjSQbAQ4dVgFoULNI6P9zHhyW/QbhY577vehUzCs+jR0N57dA8WbT2wnzbcxQkWqUVkNbdg==" saltValue="mGuDKtc57LjbuA4gLK7H5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166051505.30940333</v>
      </c>
      <c r="D9" s="8" t="s">
        <v>3</v>
      </c>
      <c r="E9" s="1"/>
    </row>
    <row r="10" spans="1:5" ht="15" customHeight="1" x14ac:dyDescent="0.25">
      <c r="A10" s="1"/>
      <c r="B10" s="26" t="s">
        <v>19</v>
      </c>
      <c r="C10" s="7">
        <f>SUM(C9:C9)*'Fane 15. Nøgletal'!C16</f>
        <v>13416961.628999788</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-1172460.036667838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178296006.90173531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6530492.8969569998</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-544396.5</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184282103.29869232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SN3hQhEf33nCkZoIi7tVCwBCFb2gPh9y8Ah55jqiDiMKl76OL2Z9BmuEGLtkIFj+YxvDCGJd28ecwakppQN+ew==" saltValue="0Cx3y8WOU+ySv1EssUjwx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178296006.90173531</v>
      </c>
      <c r="D9" s="8" t="s">
        <v>3</v>
      </c>
      <c r="E9" s="1"/>
    </row>
    <row r="10" spans="1:5" ht="15" customHeight="1" x14ac:dyDescent="0.25">
      <c r="A10" s="1"/>
      <c r="B10" s="26" t="s">
        <v>19</v>
      </c>
      <c r="C10" s="7">
        <f>SUM(C9:C9)*'Fane 15. Nøgletal'!C16</f>
        <v>14406317.357660212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-1241850.9114779872</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191460473.34791753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7058156.723031125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198518630.07094866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Ayn4bIxTRiB1CF4K9KvQneNLCmliMDf3uwyOmO6LMeYFLTfBqlpo1n1Sc8YhWTjAn/1Btyi+n2aamcjYjWVlw==" saltValue="thCc6t+oXLBFadiTKS7gj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191460473.34791753</v>
      </c>
      <c r="D9" s="8" t="s">
        <v>3</v>
      </c>
      <c r="E9" s="1"/>
      <c r="F9" s="1"/>
    </row>
    <row r="10" spans="1:6" ht="15" customHeight="1" x14ac:dyDescent="0.25">
      <c r="A10" s="1"/>
      <c r="B10" s="26" t="s">
        <v>19</v>
      </c>
      <c r="C10" s="7">
        <f>SUM(C9:C9)*'Fane 15. Nøgletal'!C16</f>
        <v>15470006.246511735</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-1315348.6158229003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205615130.97860634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7628455.7862520395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213243586.76485839</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OGobQ2T+p+U33JKA3qtL0/wz3hn4JFo3F/Pn2PCv5WjjzsyBBIBoo+xOUJMemrPf9g7nVA1SEESa9OFZrZ5GWg==" saltValue="4DcZsQkWL6f+u+NnfWAQb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151980984.38933131</v>
      </c>
      <c r="D9" s="8" t="s">
        <v>3</v>
      </c>
      <c r="E9" s="1"/>
    </row>
    <row r="10" spans="1:5" x14ac:dyDescent="0.25">
      <c r="A10" s="1"/>
      <c r="B10" s="88" t="s">
        <v>36</v>
      </c>
      <c r="C10" s="7">
        <v>1636253.1780000001</v>
      </c>
      <c r="D10" s="8" t="s">
        <v>3</v>
      </c>
      <c r="E10" s="1"/>
    </row>
    <row r="11" spans="1:5" x14ac:dyDescent="0.25">
      <c r="A11" s="1"/>
      <c r="B11" s="88" t="s">
        <v>37</v>
      </c>
      <c r="C11" s="9">
        <v>2235888.3612000002</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639385.48728031339</v>
      </c>
      <c r="D16" s="8" t="s">
        <v>3</v>
      </c>
      <c r="E16" s="1"/>
    </row>
    <row r="17" spans="1:5" x14ac:dyDescent="0.25">
      <c r="A17" s="1"/>
      <c r="B17" s="88" t="s">
        <v>10</v>
      </c>
      <c r="C17" s="41">
        <v>-522002.41046378808</v>
      </c>
      <c r="D17" s="8" t="s">
        <v>3</v>
      </c>
      <c r="E17" s="1"/>
    </row>
    <row r="18" spans="1:5" x14ac:dyDescent="0.25">
      <c r="A18" s="1"/>
      <c r="B18" s="88" t="s">
        <v>23</v>
      </c>
      <c r="C18" s="41">
        <v>-1042706.9299531333</v>
      </c>
      <c r="D18" s="8" t="s">
        <v>3</v>
      </c>
      <c r="E18" s="1"/>
    </row>
    <row r="19" spans="1:5" x14ac:dyDescent="0.25">
      <c r="A19" s="1"/>
      <c r="B19" s="88" t="s">
        <v>24</v>
      </c>
      <c r="C19" s="41">
        <v>-1567027.5101866808</v>
      </c>
      <c r="D19" s="8" t="s">
        <v>3</v>
      </c>
      <c r="E19" s="47"/>
    </row>
    <row r="20" spans="1:5" x14ac:dyDescent="0.25">
      <c r="A20" s="1"/>
      <c r="B20" s="82" t="s">
        <v>21</v>
      </c>
      <c r="C20" s="10">
        <v>153360774.56520805</v>
      </c>
      <c r="D20" s="11" t="s">
        <v>3</v>
      </c>
      <c r="E20" s="1"/>
    </row>
    <row r="21" spans="1:5" x14ac:dyDescent="0.25">
      <c r="A21" s="1"/>
      <c r="B21" s="33" t="s">
        <v>12</v>
      </c>
      <c r="C21" s="28"/>
      <c r="D21" s="19"/>
      <c r="E21" s="1"/>
    </row>
    <row r="22" spans="1:5" x14ac:dyDescent="0.25">
      <c r="A22" s="1"/>
      <c r="B22" s="31" t="s">
        <v>12</v>
      </c>
      <c r="C22" s="10">
        <v>16712931.307914721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0</v>
      </c>
      <c r="D26" s="8" t="s">
        <v>3</v>
      </c>
      <c r="E26" s="1"/>
    </row>
    <row r="27" spans="1:5" x14ac:dyDescent="0.25">
      <c r="A27" s="1"/>
      <c r="B27" s="88" t="s">
        <v>70</v>
      </c>
      <c r="C27" s="69">
        <v>0</v>
      </c>
      <c r="D27" s="8" t="s">
        <v>3</v>
      </c>
      <c r="E27" s="1"/>
    </row>
    <row r="28" spans="1:5" x14ac:dyDescent="0.25">
      <c r="A28" s="1"/>
      <c r="B28" s="88" t="s">
        <v>161</v>
      </c>
      <c r="C28" s="69">
        <v>0</v>
      </c>
      <c r="D28" s="8" t="s">
        <v>3</v>
      </c>
      <c r="E28" s="1"/>
    </row>
    <row r="29" spans="1:5" x14ac:dyDescent="0.25">
      <c r="A29" s="1"/>
      <c r="B29" s="88"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170073705.87312278</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XgoxdJup3YHGtb1GiDuJMYzzEynWFM5NHsfgb9kOyWooYGX2cq2bS+tCFrYP8w8hHzAaf5Z+Zt1LfvL96I4SOg==" saltValue="+7AFFV8g+AQj7QPnY/nPy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51925747</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1038514.9400000001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51777758.621050008</v>
      </c>
      <c r="H11" s="14" t="s">
        <v>3</v>
      </c>
      <c r="I11" s="1"/>
    </row>
    <row r="12" spans="1:9" ht="15" customHeight="1" x14ac:dyDescent="0.25">
      <c r="A12" s="1"/>
      <c r="B12" s="120" t="s">
        <v>103</v>
      </c>
      <c r="C12" s="121"/>
      <c r="D12" s="121"/>
      <c r="E12" s="121"/>
      <c r="F12" s="122"/>
      <c r="G12" s="66">
        <v>0</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619802.6514625001</v>
      </c>
      <c r="H14" s="14" t="s">
        <v>3</v>
      </c>
      <c r="I14" s="1"/>
    </row>
    <row r="15" spans="1:9" x14ac:dyDescent="0.25">
      <c r="A15" s="1"/>
      <c r="B15" s="120" t="s">
        <v>41</v>
      </c>
      <c r="C15" s="121"/>
      <c r="D15" s="121"/>
      <c r="E15" s="121"/>
      <c r="F15" s="122"/>
      <c r="G15" s="23">
        <f>SUM(G11:G14)*'Fane 15. Nøgletal'!C33</f>
        <v>1047951.2254502502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52248228.222885855</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1044964.5644577171</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52211967.952499174</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1044239.3590499834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52175732.846740142</v>
      </c>
      <c r="H31" s="14" t="s">
        <v>3</v>
      </c>
      <c r="I31" s="1"/>
    </row>
    <row r="32" spans="1:9" x14ac:dyDescent="0.25">
      <c r="A32" s="1"/>
      <c r="B32" s="120" t="s">
        <v>243</v>
      </c>
      <c r="C32" s="121"/>
      <c r="D32" s="121"/>
      <c r="E32" s="121"/>
      <c r="F32" s="122"/>
      <c r="G32" s="63">
        <v>0</v>
      </c>
      <c r="H32" s="14" t="s">
        <v>3</v>
      </c>
      <c r="I32" s="1"/>
    </row>
    <row r="33" spans="1:9" x14ac:dyDescent="0.25">
      <c r="A33" s="1"/>
      <c r="B33" s="120" t="s">
        <v>54</v>
      </c>
      <c r="C33" s="121"/>
      <c r="D33" s="121"/>
      <c r="E33" s="121"/>
      <c r="F33" s="122"/>
      <c r="G33" s="23">
        <f>(G31+G32)*'Fane 15. Nøgletal'!C33</f>
        <v>1043514.6569348029</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51300954.509831697</v>
      </c>
      <c r="H37" s="14" t="s">
        <v>3</v>
      </c>
      <c r="I37" s="1"/>
    </row>
    <row r="38" spans="1:9" x14ac:dyDescent="0.25">
      <c r="A38" s="1"/>
      <c r="B38" s="120" t="s">
        <v>242</v>
      </c>
      <c r="C38" s="121"/>
      <c r="D38" s="121"/>
      <c r="E38" s="121"/>
      <c r="F38" s="122"/>
      <c r="G38" s="63">
        <v>0</v>
      </c>
      <c r="H38" s="14" t="s">
        <v>3</v>
      </c>
      <c r="I38" s="1"/>
    </row>
    <row r="39" spans="1:9" x14ac:dyDescent="0.25">
      <c r="A39" s="1"/>
      <c r="B39" s="120" t="s">
        <v>128</v>
      </c>
      <c r="C39" s="121"/>
      <c r="D39" s="121"/>
      <c r="E39" s="121"/>
      <c r="F39" s="122"/>
      <c r="G39" s="23">
        <f>(G37+G38)*'Fane 15. Nøgletal'!C33</f>
        <v>1026019.0901966339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50440842.706519864</v>
      </c>
      <c r="H43" s="14" t="s">
        <v>3</v>
      </c>
      <c r="I43" s="1"/>
    </row>
    <row r="44" spans="1:9" x14ac:dyDescent="0.25">
      <c r="A44" s="1"/>
      <c r="B44" s="126" t="s">
        <v>157</v>
      </c>
      <c r="C44" s="127"/>
      <c r="D44" s="127"/>
      <c r="E44" s="127"/>
      <c r="F44" s="128"/>
      <c r="G44" s="45">
        <v>1694503.7911368003</v>
      </c>
      <c r="H44" s="14" t="s">
        <v>3</v>
      </c>
      <c r="I44" s="1"/>
    </row>
    <row r="45" spans="1:9" x14ac:dyDescent="0.25">
      <c r="A45" s="1"/>
      <c r="B45" s="120" t="s">
        <v>129</v>
      </c>
      <c r="C45" s="121"/>
      <c r="D45" s="121"/>
      <c r="E45" s="121"/>
      <c r="F45" s="122"/>
      <c r="G45" s="23">
        <f>SUM(G43:G44)*'Fane 15. Nøgletal'!C33</f>
        <v>1042706.9299531333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55220924.844773978</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126400.86387711999</v>
      </c>
      <c r="H53" s="14" t="s">
        <v>3</v>
      </c>
      <c r="I53" s="1"/>
    </row>
    <row r="54" spans="1:9" x14ac:dyDescent="0.25">
      <c r="A54" s="1"/>
      <c r="B54" s="120" t="s">
        <v>210</v>
      </c>
      <c r="C54" s="121"/>
      <c r="D54" s="121"/>
      <c r="E54" s="121"/>
      <c r="F54" s="122"/>
      <c r="G54" s="23">
        <f>(G52)*'Fane 15. Nøgletal'!C33+(G53)*'Fane 15. Nøgletal'!C33</f>
        <v>1106946.514173022</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58623001.833391897</v>
      </c>
      <c r="H58" s="14" t="s">
        <v>3</v>
      </c>
      <c r="I58" s="1"/>
    </row>
    <row r="59" spans="1:9" x14ac:dyDescent="0.25">
      <c r="A59" s="1"/>
      <c r="B59" s="78" t="s">
        <v>211</v>
      </c>
      <c r="C59" s="79"/>
      <c r="D59" s="79"/>
      <c r="E59" s="79"/>
      <c r="F59" s="80"/>
      <c r="G59" s="23">
        <f>(G58)*'Fane 15. Nøgletal'!C33</f>
        <v>1172460.036667838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62092545.573899359</v>
      </c>
      <c r="H63" s="14" t="s">
        <v>3</v>
      </c>
      <c r="I63" s="1"/>
    </row>
    <row r="64" spans="1:9" x14ac:dyDescent="0.25">
      <c r="A64" s="1"/>
      <c r="B64" s="78" t="s">
        <v>214</v>
      </c>
      <c r="C64" s="79"/>
      <c r="D64" s="79"/>
      <c r="E64" s="79"/>
      <c r="F64" s="80"/>
      <c r="G64" s="23">
        <f>(G63)*'Fane 15. Nøgletal'!C33</f>
        <v>1241850.9114779872</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65767430.791145012</v>
      </c>
      <c r="H68" s="14" t="s">
        <v>3</v>
      </c>
      <c r="I68" s="1"/>
    </row>
    <row r="69" spans="1:9" x14ac:dyDescent="0.25">
      <c r="A69" s="1"/>
      <c r="B69" s="78" t="s">
        <v>214</v>
      </c>
      <c r="C69" s="79"/>
      <c r="D69" s="79"/>
      <c r="E69" s="79"/>
      <c r="F69" s="80"/>
      <c r="G69" s="23">
        <f>(G68)*'Fane 15. Nøgletal'!C33</f>
        <v>1315348.6158229003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TXoJg7AZJtK827VA1RTnWYq4XSfJopiHVqPMWgB9bKNc2ET3As3fKa4LFqIdYYkIVY+sNjUqZZqp1E5dZ+QLeA==" saltValue="CbWtBioBvVvp51Z6SgnZu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107403249</v>
      </c>
      <c r="H5" s="14" t="s">
        <v>3</v>
      </c>
      <c r="I5" s="1"/>
    </row>
    <row r="6" spans="1:9" x14ac:dyDescent="0.25">
      <c r="A6" s="1"/>
      <c r="B6" s="120" t="s">
        <v>51</v>
      </c>
      <c r="C6" s="121"/>
      <c r="D6" s="121"/>
      <c r="E6" s="121"/>
      <c r="F6" s="122"/>
      <c r="G6" s="23">
        <f>G5*'Fane 15. Nøgletal'!C21</f>
        <v>977369.56590000005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108288332.32419676</v>
      </c>
      <c r="H10" s="14" t="s">
        <v>3</v>
      </c>
      <c r="I10" s="1"/>
    </row>
    <row r="11" spans="1:9" x14ac:dyDescent="0.25">
      <c r="A11" s="1"/>
      <c r="B11" s="120" t="s">
        <v>104</v>
      </c>
      <c r="C11" s="121"/>
      <c r="D11" s="121"/>
      <c r="E11" s="121"/>
      <c r="F11" s="122"/>
      <c r="G11" s="63">
        <v>239226.71670519179</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1920937.7950239645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108472237.11768085</v>
      </c>
      <c r="H17" s="14" t="s">
        <v>3</v>
      </c>
      <c r="I17" s="1"/>
    </row>
    <row r="18" spans="1:9" x14ac:dyDescent="0.25">
      <c r="A18" s="1"/>
      <c r="B18" s="123" t="s">
        <v>248</v>
      </c>
      <c r="C18" s="124"/>
      <c r="D18" s="124"/>
      <c r="E18" s="124"/>
      <c r="F18" s="125"/>
      <c r="G18" s="63">
        <v>553741.46921328991</v>
      </c>
      <c r="H18" s="14" t="s">
        <v>3</v>
      </c>
      <c r="I18" s="1"/>
    </row>
    <row r="19" spans="1:9" x14ac:dyDescent="0.25">
      <c r="A19" s="1"/>
      <c r="B19" s="120" t="s">
        <v>61</v>
      </c>
      <c r="C19" s="121"/>
      <c r="D19" s="121"/>
      <c r="E19" s="121"/>
      <c r="F19" s="122"/>
      <c r="G19" s="23">
        <f>G17*'Fane 15. Nøgletal'!C22+G18*'Fane 15. Nøgletal'!C23</f>
        <v>1924776.1477651068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109211096.12717989</v>
      </c>
      <c r="H23" s="14" t="s">
        <v>3</v>
      </c>
      <c r="I23" s="1"/>
    </row>
    <row r="24" spans="1:9" x14ac:dyDescent="0.25">
      <c r="A24" s="1"/>
      <c r="B24" s="123" t="s">
        <v>249</v>
      </c>
      <c r="C24" s="124"/>
      <c r="D24" s="124"/>
      <c r="E24" s="124"/>
      <c r="F24" s="125"/>
      <c r="G24" s="63">
        <v>257151.54625858334</v>
      </c>
      <c r="H24" s="14" t="s">
        <v>3</v>
      </c>
      <c r="I24" s="1"/>
    </row>
    <row r="25" spans="1:9" x14ac:dyDescent="0.25">
      <c r="A25" s="1"/>
      <c r="B25" s="120" t="s">
        <v>64</v>
      </c>
      <c r="C25" s="121"/>
      <c r="D25" s="121"/>
      <c r="E25" s="121"/>
      <c r="F25" s="122"/>
      <c r="G25" s="23">
        <f>(G23+G24)*'Fane 15. Nøgletal'!C24</f>
        <v>3108898.2339256527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108454628.62347123</v>
      </c>
      <c r="H29" s="14" t="s">
        <v>3</v>
      </c>
      <c r="I29" s="1"/>
    </row>
    <row r="30" spans="1:9" x14ac:dyDescent="0.25">
      <c r="A30" s="1"/>
      <c r="B30" s="120" t="s">
        <v>250</v>
      </c>
      <c r="C30" s="121"/>
      <c r="D30" s="121"/>
      <c r="E30" s="121"/>
      <c r="F30" s="122"/>
      <c r="G30" s="63">
        <v>1465434.74592648</v>
      </c>
      <c r="H30" s="14" t="s">
        <v>3</v>
      </c>
      <c r="I30" s="1"/>
    </row>
    <row r="31" spans="1:9" x14ac:dyDescent="0.25">
      <c r="A31" s="1"/>
      <c r="B31" s="120" t="s">
        <v>67</v>
      </c>
      <c r="C31" s="121"/>
      <c r="D31" s="121"/>
      <c r="E31" s="121"/>
      <c r="F31" s="122"/>
      <c r="G31" s="23">
        <f>G29*'Fane 15. Nøgletal'!C24+G30*'Fane 15. Nøgletal'!C25</f>
        <v>3120410.9084195611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107152091.31409939</v>
      </c>
      <c r="H35" s="14" t="s">
        <v>3</v>
      </c>
      <c r="I35" s="1"/>
    </row>
    <row r="36" spans="1:9" x14ac:dyDescent="0.25">
      <c r="A36" s="1"/>
      <c r="B36" s="120" t="s">
        <v>251</v>
      </c>
      <c r="C36" s="121"/>
      <c r="D36" s="121"/>
      <c r="E36" s="121"/>
      <c r="F36" s="122"/>
      <c r="G36" s="63">
        <v>-34773.373195050008</v>
      </c>
      <c r="H36" s="14" t="s">
        <v>3</v>
      </c>
      <c r="I36" s="1"/>
    </row>
    <row r="37" spans="1:9" x14ac:dyDescent="0.25">
      <c r="A37" s="1"/>
      <c r="B37" s="120" t="s">
        <v>131</v>
      </c>
      <c r="C37" s="121"/>
      <c r="D37" s="121"/>
      <c r="E37" s="121"/>
      <c r="F37" s="122"/>
      <c r="G37" s="23">
        <f>(G35+G36)*'Fane 15. Nøgletal'!C26</f>
        <v>1585336.3055253841</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105880237.17477572</v>
      </c>
      <c r="H41" s="14" t="s">
        <v>3</v>
      </c>
      <c r="I41" s="1"/>
    </row>
    <row r="42" spans="1:9" x14ac:dyDescent="0.25">
      <c r="A42" s="1"/>
      <c r="B42" s="40" t="s">
        <v>156</v>
      </c>
      <c r="C42" s="79"/>
      <c r="D42" s="79"/>
      <c r="E42" s="79"/>
      <c r="F42" s="80"/>
      <c r="G42" s="72">
        <v>2315485.9868587204</v>
      </c>
      <c r="H42" s="14" t="s">
        <v>3</v>
      </c>
      <c r="I42" s="1"/>
    </row>
    <row r="43" spans="1:9" x14ac:dyDescent="0.25">
      <c r="A43" s="1"/>
      <c r="B43" s="120" t="s">
        <v>132</v>
      </c>
      <c r="C43" s="121"/>
      <c r="D43" s="121"/>
      <c r="E43" s="121"/>
      <c r="F43" s="122"/>
      <c r="G43" s="23">
        <f>(G41)*'Fane 15. Nøgletal'!C26+G42*'Fane 15. Nøgletal'!C27</f>
        <v>1567027.5101866808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115244294.26008473</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1279725.8096223997</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125939160.89133948</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136115045.0913597</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147113140.73474157</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1aT13GgYqKLukpwsDuB5mJfdEC+HdtZJSuZtGBVVkZ6y5Ip2kJG2qisy57asPVl+ipHynSZaxqkj6/HSIsFV1w==" saltValue="exdIO1r1KWRGU6pSx7SF5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0</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MalTVKWjjLTfmqRcVoRifeEUGk7NNrgiBiqic+/Xd4IFg1xS4aInFD1ZlqXsbwdYh4dKN6DAB4DLhdJ71Q+u/g==" saltValue="n19kc6LrpDFD1IOqFbwyr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2023-11-05T12:45:15Z</dcterms:modified>
</cp:coreProperties>
</file>