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ejle Spildevand AS (S10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33" i="32" l="1"/>
  <c r="E16" i="40" l="1"/>
  <c r="E12" i="40"/>
  <c r="E18" i="27" l="1"/>
  <c r="G26" i="30" l="1"/>
  <c r="E29" i="32" l="1"/>
  <c r="G33" i="36" l="1"/>
  <c r="G25" i="36" l="1"/>
  <c r="G32" i="36" s="1"/>
  <c r="G34" i="30" l="1"/>
  <c r="G33" i="30"/>
  <c r="E10" i="20" l="1"/>
  <c r="E19" i="27" l="1"/>
  <c r="C13" i="2"/>
  <c r="C12" i="2"/>
  <c r="C11" i="2"/>
  <c r="C10" i="2"/>
  <c r="E29" i="11" l="1"/>
  <c r="E30" i="11"/>
  <c r="E10" i="11"/>
  <c r="E31" i="11" l="1"/>
  <c r="G7" i="30"/>
  <c r="E29" i="20" l="1"/>
  <c r="E23" i="20"/>
  <c r="E17" i="20"/>
  <c r="E11" i="20"/>
  <c r="E12" i="20" s="1"/>
  <c r="E21" i="32" l="1"/>
  <c r="E12" i="32"/>
  <c r="E17" i="40" l="1"/>
  <c r="C34" i="2" s="1"/>
  <c r="E28" i="20" l="1"/>
  <c r="E16" i="20"/>
  <c r="E18" i="20" s="1"/>
  <c r="E22" i="20"/>
  <c r="E24" i="20" s="1"/>
  <c r="C19" i="22" s="1"/>
  <c r="C20" i="15" l="1"/>
  <c r="C28" i="2"/>
  <c r="E30" i="20"/>
  <c r="C19" i="23" s="1"/>
  <c r="E29" i="21" l="1"/>
  <c r="E30" i="21" s="1"/>
  <c r="G53" i="36" s="1"/>
  <c r="C29" i="21"/>
  <c r="C30" i="21" s="1"/>
  <c r="G54" i="30" s="1"/>
  <c r="E23" i="21"/>
  <c r="E24" i="21" s="1"/>
  <c r="G46" i="36" s="1"/>
  <c r="C23" i="21"/>
  <c r="C24" i="21" s="1"/>
  <c r="E17" i="21"/>
  <c r="E18" i="21" s="1"/>
  <c r="G40" i="36" s="1"/>
  <c r="C17" i="21"/>
  <c r="C18" i="21" s="1"/>
  <c r="G41" i="30" s="1"/>
  <c r="C9" i="22" l="1"/>
  <c r="G47" i="30"/>
  <c r="C10" i="23"/>
  <c r="C10" i="22"/>
  <c r="C10" i="15"/>
  <c r="C9" i="23"/>
  <c r="C11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22" i="39" s="1"/>
  <c r="C22" i="15" s="1"/>
  <c r="C37" i="39"/>
  <c r="C36" i="39"/>
  <c r="E21" i="39"/>
  <c r="E20" i="39"/>
  <c r="E37" i="39"/>
  <c r="E36" i="39"/>
  <c r="C13" i="39"/>
  <c r="C12" i="39"/>
  <c r="C29" i="39"/>
  <c r="C28" i="39"/>
  <c r="C30" i="39" s="1"/>
  <c r="C21" i="22" s="1"/>
  <c r="E29" i="39"/>
  <c r="E28" i="39"/>
  <c r="C38" i="39" l="1"/>
  <c r="C21" i="23" s="1"/>
  <c r="E22" i="39"/>
  <c r="C23" i="15" s="1"/>
  <c r="E30" i="39"/>
  <c r="C22" i="22" s="1"/>
  <c r="C23" i="22" s="1"/>
  <c r="E38" i="39"/>
  <c r="C22" i="23" s="1"/>
  <c r="C23" i="23" s="1"/>
  <c r="E14" i="39"/>
  <c r="C31" i="2" s="1"/>
  <c r="C14" i="39"/>
  <c r="C30" i="2" s="1"/>
  <c r="C24" i="15" l="1"/>
  <c r="C32" i="2"/>
  <c r="G7" i="36" l="1"/>
  <c r="G11" i="36" l="1"/>
  <c r="G14" i="36" l="1"/>
  <c r="G18" i="36" s="1"/>
  <c r="G24" i="36" s="1"/>
  <c r="G11" i="30"/>
  <c r="G31" i="36" l="1"/>
  <c r="G27" i="36"/>
  <c r="E21" i="27" s="1"/>
  <c r="G15" i="30"/>
  <c r="G19" i="30" s="1"/>
  <c r="G25" i="30" s="1"/>
  <c r="G32" i="30" s="1"/>
  <c r="G20" i="36"/>
  <c r="G21" i="30" l="1"/>
  <c r="E35" i="32" l="1"/>
  <c r="C25" i="22" l="1"/>
  <c r="C26" i="15"/>
  <c r="F31" i="11"/>
  <c r="C10" i="37" s="1"/>
  <c r="C13" i="37" s="1"/>
  <c r="C14" i="37" s="1"/>
  <c r="C14" i="2" s="1"/>
  <c r="G31" i="11"/>
  <c r="E11" i="21" l="1"/>
  <c r="C11" i="21"/>
  <c r="E11" i="29"/>
  <c r="C11" i="29"/>
  <c r="C16" i="19"/>
  <c r="C17" i="19" s="1"/>
  <c r="C17" i="23" s="1"/>
  <c r="E12" i="29" l="1"/>
  <c r="C19" i="2" s="1"/>
  <c r="C12" i="29"/>
  <c r="C18" i="2" s="1"/>
  <c r="C12" i="21"/>
  <c r="C16" i="2" s="1"/>
  <c r="E12" i="21"/>
  <c r="C17" i="2" s="1"/>
  <c r="C17" i="22"/>
  <c r="C18" i="15"/>
  <c r="C26" i="2"/>
  <c r="G35" i="30" l="1"/>
  <c r="G36" i="30" s="1"/>
  <c r="G40" i="30" s="1"/>
  <c r="G28" i="30"/>
  <c r="E20" i="27" s="1"/>
  <c r="E22" i="27" s="1"/>
  <c r="E35" i="27" s="1"/>
  <c r="C9" i="2" l="1"/>
  <c r="C22" i="2"/>
  <c r="E10" i="37"/>
  <c r="E13" i="37" s="1"/>
  <c r="E14" i="37" s="1"/>
  <c r="C15" i="2" s="1"/>
  <c r="G34" i="36" l="1"/>
  <c r="G35" i="36" s="1"/>
  <c r="C20" i="2"/>
  <c r="C21" i="2" l="1"/>
  <c r="G39" i="36"/>
  <c r="G41" i="36" s="1"/>
  <c r="C23" i="2"/>
  <c r="G42" i="30"/>
  <c r="C24" i="2" l="1"/>
  <c r="G46" i="30"/>
  <c r="G48" i="30" s="1"/>
  <c r="C14" i="15"/>
  <c r="G45" i="36"/>
  <c r="C15" i="15"/>
  <c r="G47" i="36" l="1"/>
  <c r="G52" i="36" s="1"/>
  <c r="G54" i="36" s="1"/>
  <c r="C14" i="23" s="1"/>
  <c r="G53" i="30"/>
  <c r="G55" i="30" s="1"/>
  <c r="C13" i="23" s="1"/>
  <c r="C13" i="22"/>
  <c r="C35" i="2"/>
  <c r="C14" i="22" l="1"/>
  <c r="C9" i="15"/>
  <c r="C12" i="15" l="1"/>
  <c r="C13" i="15" l="1"/>
  <c r="C16" i="15" s="1"/>
  <c r="C27" i="15" s="1"/>
  <c r="C8" i="22" l="1"/>
  <c r="C11" i="22" s="1"/>
  <c r="C12" i="22" s="1"/>
  <c r="C15" i="22" s="1"/>
  <c r="C26" i="22" s="1"/>
  <c r="C8" i="23" l="1"/>
  <c r="C11" i="23" l="1"/>
  <c r="C12" i="23" s="1"/>
  <c r="C15" i="23" l="1"/>
  <c r="C24" i="23" s="1"/>
</calcChain>
</file>

<file path=xl/sharedStrings.xml><?xml version="1.0" encoding="utf-8"?>
<sst xmlns="http://schemas.openxmlformats.org/spreadsheetml/2006/main" count="767" uniqueCount="297">
  <si>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</si>
  <si>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</si>
  <si>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</si>
  <si>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</si>
  <si>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</si>
  <si>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</si>
  <si>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</si>
  <si>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</si>
  <si>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</si>
  <si>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</si>
  <si>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</si>
  <si>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</si>
  <si>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</si>
  <si>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</si>
  <si>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</si>
  <si>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</si>
  <si>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</si>
  <si>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</si>
  <si>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</si>
  <si>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</si>
  <si>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</si>
  <si>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</si>
  <si>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</si>
  <si>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</si>
  <si>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</si>
  <si>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</si>
  <si>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</si>
  <si>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</si>
  <si>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</si>
  <si>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</si>
  <si>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</si>
  <si>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</si>
  <si>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</si>
  <si>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</si>
  <si>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</si>
  <si>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</si>
  <si>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</si>
  <si>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</si>
  <si>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</si>
  <si>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</si>
  <si>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</si>
  <si>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</si>
  <si>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</si>
  <si>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</si>
  <si>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</si>
  <si>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</si>
  <si>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</si>
  <si>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</si>
  <si>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</si>
  <si>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</si>
  <si>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</si>
  <si>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</si>
  <si>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</si>
  <si>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</si>
  <si>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</si>
  <si>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</si>
  <si>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</si>
  <si>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</si>
  <si>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</si>
  <si>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</si>
  <si>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</si>
  <si>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</si>
  <si>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</si>
  <si>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</si>
  <si>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</si>
  <si>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</si>
  <si>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</si>
  <si>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</si>
  <si>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</si>
  <si>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</si>
  <si>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</si>
  <si>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</si>
  <si>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</si>
  <si>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</si>
  <si>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</si>
  <si>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</si>
  <si>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</si>
  <si>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</si>
  <si>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</si>
  <si>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</si>
  <si>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</si>
  <si>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</si>
  <si>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</si>
  <si>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</si>
  <si>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</si>
  <si>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</si>
  <si>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</si>
  <si>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</si>
  <si>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</si>
  <si>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</si>
  <si>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</si>
  <si>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</si>
  <si>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</si>
  <si>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</si>
  <si>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</si>
  <si>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</si>
  <si>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</si>
  <si>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</si>
  <si>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</si>
  <si>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</si>
  <si>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</si>
  <si>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</si>
  <si>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</si>
  <si>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</si>
  <si>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</si>
  <si>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</si>
  <si>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</si>
  <si>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</si>
  <si>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</si>
  <si>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</si>
  <si>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</si>
  <si>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</si>
  <si>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</si>
  <si>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</si>
  <si>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</si>
  <si>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</si>
  <si>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</si>
  <si>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</si>
  <si>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</si>
  <si>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</si>
  <si>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</si>
  <si>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</si>
  <si>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</si>
  <si>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</si>
  <si>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</si>
  <si>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</si>
  <si>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</si>
  <si>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</si>
  <si>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</si>
  <si>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</si>
  <si>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</si>
  <si>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</si>
  <si>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</si>
  <si>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</si>
  <si>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</si>
  <si>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</si>
  <si>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</si>
  <si>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</si>
  <si>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</si>
  <si>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</si>
  <si>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</si>
  <si>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</si>
  <si>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</si>
  <si>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</si>
  <si>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</si>
  <si>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</si>
  <si>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</si>
  <si>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</si>
  <si>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</si>
  <si>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</si>
  <si>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</si>
  <si>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</si>
  <si>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</si>
  <si>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</si>
  <si>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 xml:space="preserve"> - Heraf nye omkostninger i ØR20 - Anlæg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</si>
  <si>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</si>
  <si>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</si>
  <si>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</si>
  <si>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</si>
  <si>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</si>
  <si>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</si>
  <si>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</si>
  <si>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</si>
  <si>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</si>
  <si>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</si>
  <si>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</si>
  <si>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</si>
  <si>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</si>
  <si>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</si>
  <si>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</si>
  <si>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</si>
  <si>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</si>
  <si>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</si>
  <si>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</si>
  <si>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</si>
  <si>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</si>
  <si>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</si>
  <si>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</si>
  <si>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</si>
  <si>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</si>
  <si>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</si>
  <si>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</si>
  <si>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</si>
  <si>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Periodevise driftsomkostninger i den økonomiske ramme for 2017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</si>
  <si>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</si>
  <si>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</si>
  <si>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</si>
  <si>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</si>
  <si>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</si>
  <si>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Omkostninger i ØR2020</t>
  </si>
  <si>
    <t>Kontrol af den økonomiske ramme for 2019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</si>
  <si>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</si>
  <si>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</si>
  <si>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</si>
  <si>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</si>
  <si>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</si>
  <si>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</si>
  <si>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</si>
  <si>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</si>
  <si>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</si>
  <si>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</si>
  <si>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</si>
  <si>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statusmeddelelse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</si>
  <si>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</si>
  <si>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</si>
  <si>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</si>
  <si>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</si>
  <si>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</si>
  <si>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7: Kontrol med overholdelse af den økonomiske ramme for 2019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</si>
  <si>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</si>
  <si>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</si>
  <si>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</si>
  <si>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</si>
  <si>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</si>
  <si>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</si>
  <si>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</si>
  <si>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</si>
  <si>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</si>
  <si>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</si>
  <si>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</si>
  <si>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</si>
  <si>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</si>
  <si>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</si>
  <si>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</si>
  <si>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</si>
  <si>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</si>
  <si>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</si>
  <si>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</si>
  <si>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</si>
  <si>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</si>
  <si>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</si>
  <si>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 xml:space="preserve"> - Heraf nye omkostninger i ØR19 - Drift</t>
  </si>
  <si>
    <t xml:space="preserve"> - Heraf nye omkostninger i ØR19 - Anlæg</t>
  </si>
  <si>
    <t>- Heraf nye omkostninger i ØR19 - Drift</t>
  </si>
  <si>
    <t>- Heraf nye omkostninger i ØR19 - Anlæg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</si>
  <si>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</si>
  <si>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</si>
  <si>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</si>
  <si>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</si>
  <si>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</si>
  <si>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</si>
  <si>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</si>
  <si>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</si>
  <si>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</si>
  <si>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</si>
  <si>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</si>
  <si>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</si>
  <si>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</si>
  <si>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</si>
  <si>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</si>
  <si>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2017</t>
  </si>
  <si>
    <t>Indtægtsramme i den økonomiske ramme for 2017</t>
  </si>
  <si>
    <t>Faktiske indtægter i 2017</t>
  </si>
  <si>
    <t xml:space="preserve">Note: Denne opgørelse er taget fra jeres statusmeddelelse for den økonomiske ramme for 2019.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</si>
  <si>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</si>
  <si>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</si>
  <si>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</si>
  <si>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Difference (2017-prisniveau)</t>
  </si>
  <si>
    <t>Difference (2019-prisniveau)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</si>
  <si>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</si>
  <si>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</si>
  <si>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</si>
  <si>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</si>
  <si>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Til statusmeddelelse for 2021</t>
  </si>
  <si>
    <t>Vejledende økonomisk ramme for 2022</t>
  </si>
  <si>
    <t>Fane 14: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</si>
  <si>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</si>
  <si>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</si>
  <si>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</si>
  <si>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</si>
  <si>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Ingen tilknyttet virksomhed</t>
  </si>
  <si>
    <t>Ingen bortfald eller nedsættelse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</si>
  <si>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</si>
  <si>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</si>
  <si>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</si>
  <si>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</si>
  <si>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Tjenestemandspensioner</t>
  </si>
  <si>
    <t>Betaling til projekters medfinansiering</t>
  </si>
  <si>
    <t>Separatkloakeringer</t>
  </si>
  <si>
    <t>Byggemodninger</t>
  </si>
  <si>
    <t>Ingen engangstillæg</t>
  </si>
  <si>
    <t>Strømpeforing ≤ Ø 200 mm</t>
  </si>
  <si>
    <t>50</t>
  </si>
  <si>
    <t>Ø 200 mm &lt; Ledningsnet ≤ Ø 500 mm</t>
  </si>
  <si>
    <t>75</t>
  </si>
  <si>
    <t>Brønde</t>
  </si>
  <si>
    <t>Ledningsnet &gt; Ø 1600 mm (rørbassiner og transportledninger)</t>
  </si>
  <si>
    <t>Ledningsnet ≤ Ø 200 mm</t>
  </si>
  <si>
    <t>Ø 1000 mm &lt; Ledningsnet ≤ Ø 1200 mm</t>
  </si>
  <si>
    <t>Ø 500 mm &lt; Ledningsnet ≤ Ø 800 mm</t>
  </si>
  <si>
    <t>Jordbassin Klasse A</t>
  </si>
  <si>
    <t>Ø 800 mm &lt; Ledningsnet ≤ Ø 1000 mm</t>
  </si>
  <si>
    <t>Pumpestationer i brønde (&lt; 6,25 m2), Konstruktioner</t>
  </si>
  <si>
    <t>Pumpestationer i brønde (&lt; 6,25 m2), Mek/EL</t>
  </si>
  <si>
    <t>20</t>
  </si>
  <si>
    <t>Pumpestationer i brønde (&lt; 6,25 m2), SRO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</si>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</sst>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0" fillId="0" borderId="0" xfId="0" applyFill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263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264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39</v>
      </c>
      <c r="D15" s="66" t="s">
        <v>104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40</v>
      </c>
      <c r="D16" s="66" t="s">
        <v>188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184</v>
      </c>
      <c r="D17" s="66" t="s">
        <v>189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156</v>
      </c>
      <c r="D18" s="69" t="s">
        <v>134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157</v>
      </c>
      <c r="D19" s="69" t="s">
        <v>135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158</v>
      </c>
      <c r="D21" s="57" t="s">
        <v>13</v>
      </c>
      <c r="E21" s="58"/>
      <c r="F21" s="58"/>
      <c r="G21" s="59"/>
      <c r="H21" s="1"/>
      <c r="I21" s="1"/>
    </row>
    <row r="22" spans="1:9" x14ac:dyDescent="0.25">
      <c r="A22" s="1"/>
      <c r="B22" s="1"/>
      <c r="C22" s="6" t="s">
        <v>108</v>
      </c>
      <c r="D22" s="60" t="s">
        <v>190</v>
      </c>
      <c r="E22" s="61"/>
      <c r="F22" s="61"/>
      <c r="G22" s="62"/>
      <c r="H22" s="1"/>
      <c r="I22" s="1"/>
    </row>
    <row r="23" spans="1:9" x14ac:dyDescent="0.25">
      <c r="A23" s="1"/>
      <c r="B23" s="1"/>
      <c r="C23" s="6" t="s">
        <v>8</v>
      </c>
      <c r="D23" s="60" t="s">
        <v>191</v>
      </c>
      <c r="E23" s="61"/>
      <c r="F23" s="61"/>
      <c r="G23" s="62"/>
      <c r="H23" s="1"/>
      <c r="I23" s="1"/>
    </row>
    <row r="24" spans="1:9" x14ac:dyDescent="0.25">
      <c r="A24" s="1"/>
      <c r="B24" s="1"/>
      <c r="C24" s="6" t="s">
        <v>9</v>
      </c>
      <c r="D24" s="60" t="s">
        <v>42</v>
      </c>
      <c r="E24" s="61"/>
      <c r="F24" s="61"/>
      <c r="G24" s="62"/>
      <c r="H24" s="1"/>
      <c r="I24" s="1"/>
    </row>
    <row r="25" spans="1:9" x14ac:dyDescent="0.25">
      <c r="A25" s="1"/>
      <c r="B25" s="1"/>
      <c r="C25" s="6" t="s">
        <v>159</v>
      </c>
      <c r="D25" s="60" t="s">
        <v>109</v>
      </c>
      <c r="E25" s="61"/>
      <c r="F25" s="61"/>
      <c r="G25" s="62"/>
      <c r="H25" s="1"/>
      <c r="I25" s="1"/>
    </row>
    <row r="26" spans="1:9" x14ac:dyDescent="0.25">
      <c r="A26" s="1"/>
      <c r="B26" s="1"/>
      <c r="C26" s="6" t="s">
        <v>160</v>
      </c>
      <c r="D26" s="60" t="s">
        <v>110</v>
      </c>
      <c r="E26" s="61"/>
      <c r="F26" s="61"/>
      <c r="G26" s="62"/>
      <c r="H26" s="1"/>
      <c r="I26" s="1"/>
    </row>
    <row r="27" spans="1:9" x14ac:dyDescent="0.25">
      <c r="A27" s="1"/>
      <c r="B27" s="1"/>
      <c r="C27" s="6" t="s">
        <v>161</v>
      </c>
      <c r="D27" s="60" t="s">
        <v>111</v>
      </c>
      <c r="E27" s="61"/>
      <c r="F27" s="61"/>
      <c r="G27" s="62"/>
      <c r="H27" s="1"/>
      <c r="I27" s="1"/>
    </row>
    <row r="28" spans="1:9" x14ac:dyDescent="0.25">
      <c r="A28" s="1"/>
      <c r="B28" s="1"/>
      <c r="C28" s="6" t="s">
        <v>16</v>
      </c>
      <c r="D28" s="60" t="s">
        <v>187</v>
      </c>
      <c r="E28" s="61"/>
      <c r="F28" s="61"/>
      <c r="G28" s="62"/>
      <c r="H28" s="1"/>
      <c r="I28" s="1"/>
    </row>
    <row r="29" spans="1:9" x14ac:dyDescent="0.25">
      <c r="A29" s="1"/>
      <c r="B29" s="1"/>
      <c r="C29" s="6" t="s">
        <v>44</v>
      </c>
      <c r="D29" s="60" t="s">
        <v>43</v>
      </c>
      <c r="E29" s="61"/>
      <c r="F29" s="61"/>
      <c r="G29" s="62"/>
      <c r="H29" s="1"/>
      <c r="I29" s="1"/>
    </row>
    <row r="30" spans="1:9" x14ac:dyDescent="0.25">
      <c r="A30" s="1"/>
      <c r="B30" s="1"/>
      <c r="C30" s="6" t="s">
        <v>45</v>
      </c>
      <c r="D30" s="54" t="s">
        <v>151</v>
      </c>
      <c r="E30" s="55"/>
      <c r="F30" s="55"/>
      <c r="G30" s="56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LGUpH/GN/rDOWw0Pz4hmQjzPJEg3FYsoql6aQWyvcbFLSQddps94xssBvcro8OP2s1YTjEIWwe/Zn7Z1vK4qg==" saltValue="5w38CSL92qEUTZSIVZ5PuQ==" spinCount="100000" sheet="1" objects="1" scenarios="1"/>
  <mergeCells count="21"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165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02" t="s">
        <v>203</v>
      </c>
      <c r="C8" s="103"/>
      <c r="D8" s="104"/>
      <c r="E8" s="1"/>
      <c r="F8" s="1"/>
    </row>
    <row r="9" spans="1:6" ht="15" customHeight="1" x14ac:dyDescent="0.25">
      <c r="A9" s="1"/>
      <c r="B9" s="45" t="s">
        <v>37</v>
      </c>
      <c r="C9" s="11" t="s">
        <v>204</v>
      </c>
      <c r="D9" s="11"/>
      <c r="E9" s="1"/>
      <c r="F9" s="1"/>
    </row>
    <row r="10" spans="1:6" x14ac:dyDescent="0.25">
      <c r="A10" s="1"/>
      <c r="B10" s="49" t="s">
        <v>272</v>
      </c>
      <c r="C10" s="9">
        <v>2588569</v>
      </c>
      <c r="D10" s="14" t="s">
        <v>3</v>
      </c>
      <c r="E10" s="1"/>
      <c r="F10" s="1"/>
    </row>
    <row r="11" spans="1:6" x14ac:dyDescent="0.25">
      <c r="A11" s="1"/>
      <c r="B11" s="49" t="s">
        <v>273</v>
      </c>
      <c r="C11" s="9">
        <v>153002</v>
      </c>
      <c r="D11" s="14" t="s">
        <v>3</v>
      </c>
      <c r="E11" s="1"/>
      <c r="F11" s="1"/>
    </row>
    <row r="12" spans="1:6" ht="26.25" x14ac:dyDescent="0.25">
      <c r="A12" s="1"/>
      <c r="B12" s="40" t="s">
        <v>274</v>
      </c>
      <c r="C12" s="9">
        <v>508536</v>
      </c>
      <c r="D12" s="14" t="s">
        <v>3</v>
      </c>
      <c r="E12" s="1"/>
      <c r="F12" s="1"/>
    </row>
    <row r="13" spans="1:6" x14ac:dyDescent="0.25">
      <c r="A13" s="1"/>
      <c r="B13" s="40" t="s">
        <v>275</v>
      </c>
      <c r="C13" s="9">
        <v>310333</v>
      </c>
      <c r="D13" s="14" t="s">
        <v>3</v>
      </c>
      <c r="E13" s="1"/>
      <c r="F13" s="1"/>
    </row>
    <row r="14" spans="1:6" x14ac:dyDescent="0.25">
      <c r="A14" s="1"/>
      <c r="B14" s="49" t="s">
        <v>276</v>
      </c>
      <c r="C14" s="9">
        <v>270046</v>
      </c>
      <c r="D14" s="14" t="s">
        <v>3</v>
      </c>
      <c r="E14" s="1"/>
      <c r="F14" s="1"/>
    </row>
    <row r="15" spans="1:6" x14ac:dyDescent="0.25">
      <c r="A15" s="1"/>
      <c r="B15" s="49" t="s">
        <v>277</v>
      </c>
      <c r="C15" s="9">
        <v>1760512</v>
      </c>
      <c r="D15" s="14" t="s">
        <v>3</v>
      </c>
      <c r="E15" s="1"/>
      <c r="F15" s="1"/>
    </row>
    <row r="16" spans="1:6" x14ac:dyDescent="0.25">
      <c r="A16" s="1"/>
      <c r="B16" s="37" t="s">
        <v>205</v>
      </c>
      <c r="C16" s="12">
        <f>SUM(C10:C15)</f>
        <v>5590998</v>
      </c>
      <c r="D16" s="13" t="s">
        <v>3</v>
      </c>
      <c r="E16" s="1"/>
      <c r="F16" s="1"/>
    </row>
    <row r="17" spans="1:6" x14ac:dyDescent="0.25">
      <c r="A17" s="1"/>
      <c r="B17" s="37" t="s">
        <v>206</v>
      </c>
      <c r="C17" s="12">
        <f>C16*(1+'Fane 14. Nøgletal'!C13)^2</f>
        <v>5728250.5153423203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02" t="s">
        <v>176</v>
      </c>
      <c r="C20" s="103"/>
      <c r="D20" s="104"/>
      <c r="E20" s="1"/>
      <c r="F20" s="1"/>
    </row>
    <row r="21" spans="1:6" x14ac:dyDescent="0.25">
      <c r="A21" s="1"/>
      <c r="B21" s="49" t="s">
        <v>142</v>
      </c>
      <c r="C21" s="9">
        <v>2378417</v>
      </c>
      <c r="D21" s="14" t="s">
        <v>3</v>
      </c>
      <c r="E21" s="1"/>
      <c r="F21" s="1"/>
    </row>
    <row r="22" spans="1:6" x14ac:dyDescent="0.25">
      <c r="A22" s="1"/>
      <c r="B22" s="49" t="s">
        <v>143</v>
      </c>
      <c r="C22" s="9">
        <v>2388553</v>
      </c>
      <c r="D22" s="14" t="s">
        <v>3</v>
      </c>
      <c r="E22" s="1"/>
      <c r="F22" s="1"/>
    </row>
    <row r="23" spans="1:6" x14ac:dyDescent="0.25">
      <c r="A23" s="1"/>
      <c r="B23" s="49" t="s">
        <v>144</v>
      </c>
      <c r="C23" s="9">
        <v>2398891</v>
      </c>
      <c r="D23" s="14" t="s">
        <v>3</v>
      </c>
      <c r="E23" s="1"/>
      <c r="F23" s="1"/>
    </row>
    <row r="24" spans="1:6" x14ac:dyDescent="0.25">
      <c r="A24" s="1"/>
      <c r="B24" s="49" t="s">
        <v>207</v>
      </c>
      <c r="C24" s="9">
        <v>2409436</v>
      </c>
      <c r="D24" s="14" t="s">
        <v>3</v>
      </c>
      <c r="E24" s="1"/>
      <c r="F24" s="1"/>
    </row>
    <row r="25" spans="1:6" x14ac:dyDescent="0.25">
      <c r="A25" s="1"/>
      <c r="B25" s="102"/>
      <c r="C25" s="103"/>
      <c r="D25" s="104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02" t="s">
        <v>141</v>
      </c>
      <c r="C28" s="103"/>
      <c r="D28" s="104"/>
      <c r="E28" s="1"/>
      <c r="F28" s="1"/>
    </row>
    <row r="29" spans="1:6" x14ac:dyDescent="0.25">
      <c r="A29" s="1"/>
      <c r="B29" s="49" t="s">
        <v>142</v>
      </c>
      <c r="C29" s="9">
        <v>2460204</v>
      </c>
      <c r="D29" s="14" t="s">
        <v>3</v>
      </c>
      <c r="E29" s="1"/>
      <c r="F29" s="1"/>
    </row>
    <row r="30" spans="1:6" x14ac:dyDescent="0.25">
      <c r="A30" s="1"/>
      <c r="B30" s="49" t="s">
        <v>143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49" t="s">
        <v>144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49" t="s">
        <v>207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102"/>
      <c r="C33" s="103"/>
      <c r="D33" s="104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L5XhRmyA6h1usenM6/s1rOugpeFv/nkZn/2CWmAOoC6amn7IbryXI/CV8BTxkSIyXTPZm1G4SrghDjl1VFl3aA==" saltValue="HWaG35jNvUA4KgZyxFt3zA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208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39"/>
      <c r="C5" s="39"/>
      <c r="D5" s="39"/>
      <c r="E5" s="39"/>
      <c r="F5" s="39"/>
      <c r="G5" s="1"/>
    </row>
    <row r="6" spans="1:7" ht="15" customHeight="1" x14ac:dyDescent="0.25">
      <c r="A6" s="1"/>
      <c r="B6" s="39"/>
      <c r="C6" s="39"/>
      <c r="D6" s="39"/>
      <c r="E6" s="39"/>
      <c r="F6" s="3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250</v>
      </c>
      <c r="C8" s="103"/>
      <c r="D8" s="103"/>
      <c r="E8" s="103"/>
      <c r="F8" s="104"/>
      <c r="G8" s="1"/>
    </row>
    <row r="9" spans="1:7" x14ac:dyDescent="0.25">
      <c r="A9" s="1"/>
      <c r="B9" s="99" t="s">
        <v>251</v>
      </c>
      <c r="C9" s="100"/>
      <c r="D9" s="101"/>
      <c r="E9" s="9">
        <v>202688053.81096256</v>
      </c>
      <c r="F9" s="14" t="s">
        <v>3</v>
      </c>
      <c r="G9" s="1"/>
    </row>
    <row r="10" spans="1:7" x14ac:dyDescent="0.25">
      <c r="A10" s="1"/>
      <c r="B10" s="99" t="s">
        <v>252</v>
      </c>
      <c r="C10" s="100"/>
      <c r="D10" s="101"/>
      <c r="E10" s="9">
        <v>193408253</v>
      </c>
      <c r="F10" s="14" t="s">
        <v>3</v>
      </c>
      <c r="G10" s="1"/>
    </row>
    <row r="11" spans="1:7" x14ac:dyDescent="0.25">
      <c r="A11" s="1"/>
      <c r="B11" s="99" t="s">
        <v>38</v>
      </c>
      <c r="C11" s="100"/>
      <c r="D11" s="101"/>
      <c r="E11" s="9">
        <v>58000</v>
      </c>
      <c r="F11" s="14" t="s">
        <v>3</v>
      </c>
      <c r="G11" s="1"/>
    </row>
    <row r="12" spans="1:7" x14ac:dyDescent="0.25">
      <c r="A12" s="1"/>
      <c r="B12" s="86" t="s">
        <v>257</v>
      </c>
      <c r="C12" s="87"/>
      <c r="D12" s="88"/>
      <c r="E12" s="10">
        <f>E9-(E10-E11)</f>
        <v>9337800.8109625578</v>
      </c>
      <c r="F12" s="17" t="s">
        <v>3</v>
      </c>
      <c r="G12" s="1"/>
    </row>
    <row r="13" spans="1:7" x14ac:dyDescent="0.25">
      <c r="A13" s="1"/>
      <c r="B13" s="37"/>
      <c r="C13" s="38"/>
      <c r="D13" s="38"/>
      <c r="E13" s="38"/>
      <c r="F13" s="20"/>
      <c r="G13" s="1"/>
    </row>
    <row r="14" spans="1:7" ht="27.75" customHeight="1" x14ac:dyDescent="0.25">
      <c r="A14" s="1"/>
      <c r="B14" s="74" t="s">
        <v>253</v>
      </c>
      <c r="C14" s="75"/>
      <c r="D14" s="75"/>
      <c r="E14" s="75"/>
      <c r="F14" s="76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02" t="s">
        <v>51</v>
      </c>
      <c r="C17" s="103"/>
      <c r="D17" s="103"/>
      <c r="E17" s="103"/>
      <c r="F17" s="104"/>
      <c r="G17" s="1"/>
    </row>
    <row r="18" spans="1:7" x14ac:dyDescent="0.25">
      <c r="A18" s="1"/>
      <c r="B18" s="99" t="s">
        <v>52</v>
      </c>
      <c r="C18" s="100"/>
      <c r="D18" s="101"/>
      <c r="E18" s="9">
        <v>213359070.56413162</v>
      </c>
      <c r="F18" s="14" t="s">
        <v>3</v>
      </c>
      <c r="G18" s="1"/>
    </row>
    <row r="19" spans="1:7" x14ac:dyDescent="0.25">
      <c r="A19" s="1"/>
      <c r="B19" s="99" t="s">
        <v>53</v>
      </c>
      <c r="C19" s="100"/>
      <c r="D19" s="101"/>
      <c r="E19" s="9">
        <v>208521173</v>
      </c>
      <c r="F19" s="14" t="s">
        <v>3</v>
      </c>
      <c r="G19" s="1"/>
    </row>
    <row r="20" spans="1:7" x14ac:dyDescent="0.25">
      <c r="A20" s="1"/>
      <c r="B20" s="99" t="s">
        <v>38</v>
      </c>
      <c r="C20" s="100"/>
      <c r="D20" s="101"/>
      <c r="E20" s="9">
        <v>195000</v>
      </c>
      <c r="F20" s="14" t="s">
        <v>3</v>
      </c>
      <c r="G20" s="1"/>
    </row>
    <row r="21" spans="1:7" x14ac:dyDescent="0.25">
      <c r="A21" s="1"/>
      <c r="B21" s="86" t="s">
        <v>54</v>
      </c>
      <c r="C21" s="87"/>
      <c r="D21" s="88"/>
      <c r="E21" s="10">
        <f>E18-(E19-E20)</f>
        <v>5032897.5641316175</v>
      </c>
      <c r="F21" s="17" t="s">
        <v>3</v>
      </c>
      <c r="G21" s="1"/>
    </row>
    <row r="22" spans="1:7" x14ac:dyDescent="0.25">
      <c r="A22" s="1"/>
      <c r="B22" s="37"/>
      <c r="C22" s="38"/>
      <c r="D22" s="38"/>
      <c r="E22" s="38"/>
      <c r="F22" s="20"/>
      <c r="G22" s="1"/>
    </row>
    <row r="23" spans="1:7" ht="28.5" customHeight="1" x14ac:dyDescent="0.25">
      <c r="A23" s="1"/>
      <c r="B23" s="74" t="s">
        <v>253</v>
      </c>
      <c r="C23" s="75"/>
      <c r="D23" s="75"/>
      <c r="E23" s="75"/>
      <c r="F23" s="76"/>
      <c r="G23" s="1"/>
    </row>
    <row r="24" spans="1:7" ht="28.5" customHeight="1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02" t="s">
        <v>254</v>
      </c>
      <c r="C25" s="103"/>
      <c r="D25" s="103"/>
      <c r="E25" s="103"/>
      <c r="F25" s="104"/>
      <c r="G25" s="1"/>
    </row>
    <row r="26" spans="1:7" x14ac:dyDescent="0.25">
      <c r="A26" s="1"/>
      <c r="B26" s="99" t="s">
        <v>255</v>
      </c>
      <c r="C26" s="100"/>
      <c r="D26" s="101"/>
      <c r="E26" s="9">
        <v>202820420.85364252</v>
      </c>
      <c r="F26" s="14" t="s">
        <v>3</v>
      </c>
      <c r="G26" s="1"/>
    </row>
    <row r="27" spans="1:7" x14ac:dyDescent="0.25">
      <c r="A27" s="1"/>
      <c r="B27" s="99" t="s">
        <v>256</v>
      </c>
      <c r="C27" s="100"/>
      <c r="D27" s="101"/>
      <c r="E27" s="9">
        <v>208246176</v>
      </c>
      <c r="F27" s="14" t="s">
        <v>3</v>
      </c>
      <c r="G27" s="1"/>
    </row>
    <row r="28" spans="1:7" x14ac:dyDescent="0.25">
      <c r="A28" s="1"/>
      <c r="B28" s="99" t="s">
        <v>38</v>
      </c>
      <c r="C28" s="100"/>
      <c r="D28" s="101"/>
      <c r="E28" s="9">
        <v>110000</v>
      </c>
      <c r="F28" s="14" t="s">
        <v>3</v>
      </c>
      <c r="G28" s="1"/>
    </row>
    <row r="29" spans="1:7" x14ac:dyDescent="0.25">
      <c r="A29" s="1"/>
      <c r="B29" s="86" t="s">
        <v>258</v>
      </c>
      <c r="C29" s="87"/>
      <c r="D29" s="88"/>
      <c r="E29" s="10">
        <f>E26-(E27-E28)</f>
        <v>-5315755.1463574767</v>
      </c>
      <c r="F29" s="17" t="s">
        <v>3</v>
      </c>
      <c r="G29" s="1"/>
    </row>
    <row r="30" spans="1:7" x14ac:dyDescent="0.25">
      <c r="A30" s="1"/>
      <c r="B30" s="37"/>
      <c r="C30" s="38"/>
      <c r="D30" s="38"/>
      <c r="E30" s="38"/>
      <c r="F30" s="20"/>
      <c r="G30" s="1"/>
    </row>
    <row r="31" spans="1:7" ht="28.5" customHeight="1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2" t="s">
        <v>259</v>
      </c>
      <c r="C32" s="103"/>
      <c r="D32" s="103"/>
      <c r="E32" s="103"/>
      <c r="F32" s="104"/>
      <c r="G32" s="1"/>
    </row>
    <row r="33" spans="1:7" x14ac:dyDescent="0.25">
      <c r="A33" s="1"/>
      <c r="B33" s="110" t="s">
        <v>260</v>
      </c>
      <c r="C33" s="111"/>
      <c r="D33" s="112"/>
      <c r="E33" s="9">
        <f>IF(AND(E12&lt;0,(E21+E29)&gt;=0),E12,IF(AND(E12&lt;0,(E21+E29)&lt;0),(E12+E21+E29),IF(AND(E12&gt;=0,(E21+E29)&gt;=0),0,IF(AND(E12&gt;=0,(E21+E29)&lt;0,(E12+E21+E29)&lt;0),(E12+E21+E29),IF(AND(E12&gt;=0,(E21+E29)&lt;0,(E12+E21+E29)&gt;0),0,0)))))</f>
        <v>0</v>
      </c>
      <c r="F33" s="14" t="s">
        <v>3</v>
      </c>
      <c r="G33" s="1"/>
    </row>
    <row r="34" spans="1:7" x14ac:dyDescent="0.25">
      <c r="A34" s="1"/>
      <c r="B34" s="110" t="s">
        <v>147</v>
      </c>
      <c r="C34" s="111"/>
      <c r="D34" s="112"/>
      <c r="E34" s="9">
        <v>2</v>
      </c>
      <c r="F34" s="14" t="s">
        <v>21</v>
      </c>
      <c r="G34" s="1"/>
    </row>
    <row r="35" spans="1:7" x14ac:dyDescent="0.25">
      <c r="A35" s="1"/>
      <c r="B35" s="113" t="s">
        <v>262</v>
      </c>
      <c r="C35" s="113"/>
      <c r="D35" s="113"/>
      <c r="E35" s="10">
        <f>E33/E34</f>
        <v>0</v>
      </c>
      <c r="F35" s="17" t="s">
        <v>3</v>
      </c>
      <c r="G35" s="1"/>
    </row>
    <row r="36" spans="1:7" x14ac:dyDescent="0.25">
      <c r="A36" s="1"/>
      <c r="B36" s="114"/>
      <c r="C36" s="115"/>
      <c r="D36" s="115"/>
      <c r="E36" s="115"/>
      <c r="F36" s="11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36"/>
      <c r="B46" s="36"/>
      <c r="C46" s="36"/>
      <c r="D46" s="36"/>
      <c r="E46" s="36"/>
      <c r="F46" s="36"/>
      <c r="G46" s="36"/>
    </row>
    <row r="47" spans="1:7" x14ac:dyDescent="0.25">
      <c r="A47" s="36"/>
      <c r="B47" s="36"/>
      <c r="C47" s="36"/>
      <c r="D47" s="36"/>
      <c r="E47" s="36"/>
      <c r="F47" s="36"/>
      <c r="G47" s="36"/>
    </row>
    <row r="48" spans="1:7" x14ac:dyDescent="0.25">
      <c r="A48" s="36"/>
      <c r="B48" s="36"/>
      <c r="C48" s="36"/>
      <c r="D48" s="36"/>
      <c r="E48" s="36"/>
      <c r="F48" s="36"/>
      <c r="G48" s="36"/>
    </row>
    <row r="49" spans="1:7" x14ac:dyDescent="0.25">
      <c r="A49" s="36"/>
      <c r="B49" s="36"/>
      <c r="C49" s="36"/>
      <c r="D49" s="36"/>
      <c r="E49" s="36"/>
      <c r="F49" s="36"/>
      <c r="G49" s="36"/>
    </row>
    <row r="50" spans="1:7" x14ac:dyDescent="0.25">
      <c r="A50" s="36"/>
      <c r="B50" s="36"/>
      <c r="C50" s="36"/>
      <c r="D50" s="36"/>
      <c r="E50" s="36"/>
      <c r="F50" s="36"/>
      <c r="G50" s="36"/>
    </row>
    <row r="51" spans="1:7" x14ac:dyDescent="0.25">
      <c r="A51" s="36"/>
      <c r="B51" s="36"/>
      <c r="C51" s="36"/>
      <c r="D51" s="36"/>
      <c r="E51" s="36"/>
      <c r="F51" s="36"/>
      <c r="G51" s="36"/>
    </row>
    <row r="52" spans="1:7" x14ac:dyDescent="0.25">
      <c r="A52" s="36"/>
      <c r="B52" s="36"/>
      <c r="C52" s="36"/>
      <c r="D52" s="36"/>
      <c r="E52" s="36"/>
      <c r="F52" s="36"/>
      <c r="G52" s="36"/>
    </row>
    <row r="53" spans="1:7" x14ac:dyDescent="0.25">
      <c r="A53" s="36"/>
      <c r="B53" s="36"/>
      <c r="C53" s="36"/>
      <c r="D53" s="36"/>
      <c r="E53" s="36"/>
      <c r="F53" s="36"/>
      <c r="G53" s="36"/>
    </row>
    <row r="54" spans="1:7" x14ac:dyDescent="0.25">
      <c r="A54" s="36"/>
      <c r="B54" s="36"/>
      <c r="C54" s="36"/>
      <c r="D54" s="36"/>
      <c r="E54" s="36"/>
      <c r="F54" s="36"/>
      <c r="G54" s="36"/>
    </row>
    <row r="55" spans="1:7" x14ac:dyDescent="0.25">
      <c r="A55" s="36"/>
      <c r="B55" s="36"/>
      <c r="C55" s="36"/>
      <c r="D55" s="36"/>
      <c r="E55" s="36"/>
      <c r="F55" s="36"/>
      <c r="G55" s="36"/>
    </row>
  </sheetData>
  <sheetProtection algorithmName="SHA-512" hashValue="8J0BCXsvrCdyTwAubqvTzKxVRQLmDCH6D3tYl6pg7pLtVLVPETQrw7ScMV/0UXe5crI9mOfcqcUQZBIrskvDxQ==" saltValue="+dxNx3wSIiDStUxN0claDQ==" spinCount="100000" sheet="1" objects="1" scenarios="1"/>
  <mergeCells count="23">
    <mergeCell ref="B29:D29"/>
    <mergeCell ref="B23:F23"/>
    <mergeCell ref="B25:F25"/>
    <mergeCell ref="B26:D26"/>
    <mergeCell ref="B27:D27"/>
    <mergeCell ref="B28:D28"/>
    <mergeCell ref="B32:F32"/>
    <mergeCell ref="B33:D33"/>
    <mergeCell ref="B34:D34"/>
    <mergeCell ref="B35:D35"/>
    <mergeCell ref="B36:F36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209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02" t="s">
        <v>210</v>
      </c>
      <c r="C9" s="103"/>
      <c r="D9" s="103"/>
      <c r="E9" s="103"/>
      <c r="F9" s="103"/>
      <c r="G9" s="1"/>
    </row>
    <row r="10" spans="1:7" x14ac:dyDescent="0.25">
      <c r="A10" s="1"/>
      <c r="B10" s="74" t="s">
        <v>145</v>
      </c>
      <c r="C10" s="75"/>
      <c r="D10" s="76"/>
      <c r="E10" s="7">
        <v>0</v>
      </c>
      <c r="F10" s="8" t="s">
        <v>3</v>
      </c>
      <c r="G10" s="1"/>
    </row>
    <row r="11" spans="1:7" x14ac:dyDescent="0.25">
      <c r="A11" s="1"/>
      <c r="B11" s="99" t="s">
        <v>211</v>
      </c>
      <c r="C11" s="100"/>
      <c r="D11" s="101"/>
      <c r="E11" s="7">
        <v>0</v>
      </c>
      <c r="F11" s="8" t="s">
        <v>3</v>
      </c>
      <c r="G11" s="1"/>
    </row>
    <row r="12" spans="1:7" x14ac:dyDescent="0.25">
      <c r="A12" s="1"/>
      <c r="B12" s="86" t="s">
        <v>146</v>
      </c>
      <c r="C12" s="87"/>
      <c r="D12" s="88"/>
      <c r="E12" s="10">
        <f>E11-E10</f>
        <v>0</v>
      </c>
      <c r="F12" s="11" t="s">
        <v>3</v>
      </c>
      <c r="G12" s="1"/>
    </row>
    <row r="13" spans="1:7" x14ac:dyDescent="0.25">
      <c r="A13" s="1"/>
      <c r="B13" s="102" t="s">
        <v>133</v>
      </c>
      <c r="C13" s="103"/>
      <c r="D13" s="103"/>
      <c r="E13" s="103"/>
      <c r="F13" s="103"/>
      <c r="G13" s="1"/>
    </row>
    <row r="14" spans="1:7" x14ac:dyDescent="0.25">
      <c r="A14" s="1"/>
      <c r="B14" s="99" t="s">
        <v>212</v>
      </c>
      <c r="C14" s="100"/>
      <c r="D14" s="101"/>
      <c r="E14" s="9">
        <v>2358738</v>
      </c>
      <c r="F14" s="8" t="s">
        <v>3</v>
      </c>
      <c r="G14" s="1"/>
    </row>
    <row r="15" spans="1:7" x14ac:dyDescent="0.25">
      <c r="A15" s="1"/>
      <c r="B15" s="74" t="s">
        <v>213</v>
      </c>
      <c r="C15" s="75"/>
      <c r="D15" s="76"/>
      <c r="E15" s="9">
        <v>2151646</v>
      </c>
      <c r="F15" s="8" t="s">
        <v>3</v>
      </c>
      <c r="G15" s="1"/>
    </row>
    <row r="16" spans="1:7" x14ac:dyDescent="0.25">
      <c r="A16" s="1"/>
      <c r="B16" s="86" t="s">
        <v>146</v>
      </c>
      <c r="C16" s="87"/>
      <c r="D16" s="88"/>
      <c r="E16" s="10">
        <f>E15-E14</f>
        <v>-207092</v>
      </c>
      <c r="F16" s="11" t="s">
        <v>3</v>
      </c>
      <c r="G16" s="1"/>
    </row>
    <row r="17" spans="1:7" ht="15" customHeight="1" x14ac:dyDescent="0.25">
      <c r="A17" s="1"/>
      <c r="B17" s="37" t="s">
        <v>214</v>
      </c>
      <c r="C17" s="38"/>
      <c r="D17" s="38"/>
      <c r="E17" s="12">
        <f>E12+E16</f>
        <v>-207092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460dIRFtAhTiA1VIacxd8/rWHSDv6MbiZi+iWeOsUTfpaP/5Ng+cGejUU5DMeAWEGobBLngNrWKJDaClQRpnA==" saltValue="ERyK95z2ExpVBozRhcksV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32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235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2" t="s">
        <v>236</v>
      </c>
      <c r="C8" s="103"/>
      <c r="D8" s="103"/>
      <c r="E8" s="103"/>
      <c r="F8" s="103"/>
      <c r="G8" s="103"/>
      <c r="H8" s="10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35</v>
      </c>
      <c r="H9" s="53"/>
      <c r="I9" s="1"/>
    </row>
    <row r="10" spans="1:9" x14ac:dyDescent="0.25">
      <c r="A10" s="1"/>
      <c r="B10" s="51" t="s">
        <v>281</v>
      </c>
      <c r="C10" s="122" t="s">
        <v>282</v>
      </c>
      <c r="D10" s="9">
        <v>3361735</v>
      </c>
      <c r="E10" s="9">
        <f>IFERROR(D10/C10,0)</f>
        <v>67234.7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1" t="s">
        <v>283</v>
      </c>
      <c r="C11" s="122" t="s">
        <v>284</v>
      </c>
      <c r="D11" s="9">
        <v>525671</v>
      </c>
      <c r="E11" s="9">
        <f t="shared" ref="E11:E28" si="0">IFERROR(D11/C11,0)</f>
        <v>7008.9466666666667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51" t="s">
        <v>285</v>
      </c>
      <c r="C12" s="122" t="s">
        <v>284</v>
      </c>
      <c r="D12" s="9">
        <v>1418373</v>
      </c>
      <c r="E12" s="9">
        <f t="shared" si="0"/>
        <v>18911.64</v>
      </c>
      <c r="F12" s="9">
        <v>0</v>
      </c>
      <c r="G12" s="9">
        <v>0</v>
      </c>
      <c r="H12" s="14" t="s">
        <v>3</v>
      </c>
      <c r="I12" s="1"/>
    </row>
    <row r="13" spans="1:9" ht="39" x14ac:dyDescent="0.25">
      <c r="A13" s="1"/>
      <c r="B13" s="51" t="s">
        <v>286</v>
      </c>
      <c r="C13" s="122" t="s">
        <v>284</v>
      </c>
      <c r="D13" s="9">
        <v>9312594</v>
      </c>
      <c r="E13" s="9">
        <f t="shared" si="0"/>
        <v>124167.92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51" t="s">
        <v>287</v>
      </c>
      <c r="C14" s="122" t="s">
        <v>284</v>
      </c>
      <c r="D14" s="9">
        <v>855800</v>
      </c>
      <c r="E14" s="9">
        <f t="shared" si="0"/>
        <v>11410.666666666666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51" t="s">
        <v>288</v>
      </c>
      <c r="C15" s="122" t="s">
        <v>284</v>
      </c>
      <c r="D15" s="9">
        <v>2661714</v>
      </c>
      <c r="E15" s="9">
        <f t="shared" si="0"/>
        <v>35489.519999999997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51" t="s">
        <v>283</v>
      </c>
      <c r="C16" s="122" t="s">
        <v>284</v>
      </c>
      <c r="D16" s="9">
        <v>342535</v>
      </c>
      <c r="E16" s="9">
        <f t="shared" si="0"/>
        <v>4567.1333333333332</v>
      </c>
      <c r="F16" s="9">
        <v>0</v>
      </c>
      <c r="G16" s="9">
        <v>0</v>
      </c>
      <c r="H16" s="14" t="s">
        <v>3</v>
      </c>
      <c r="I16" s="1"/>
    </row>
    <row r="17" spans="1:9" ht="26.25" x14ac:dyDescent="0.25">
      <c r="A17" s="1"/>
      <c r="B17" s="51" t="s">
        <v>289</v>
      </c>
      <c r="C17" s="122" t="s">
        <v>284</v>
      </c>
      <c r="D17" s="9">
        <v>2335910</v>
      </c>
      <c r="E17" s="9">
        <f t="shared" si="0"/>
        <v>31145.466666666667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51" t="s">
        <v>285</v>
      </c>
      <c r="C18" s="122" t="s">
        <v>284</v>
      </c>
      <c r="D18" s="9">
        <v>4197666</v>
      </c>
      <c r="E18" s="9">
        <f t="shared" si="0"/>
        <v>55968.88</v>
      </c>
      <c r="F18" s="9">
        <v>0</v>
      </c>
      <c r="G18" s="9">
        <v>0</v>
      </c>
      <c r="H18" s="14" t="s">
        <v>3</v>
      </c>
      <c r="I18" s="1"/>
    </row>
    <row r="19" spans="1:9" x14ac:dyDescent="0.25">
      <c r="A19" s="1"/>
      <c r="B19" s="51" t="s">
        <v>287</v>
      </c>
      <c r="C19" s="122" t="s">
        <v>284</v>
      </c>
      <c r="D19" s="9">
        <v>5019150</v>
      </c>
      <c r="E19" s="9">
        <f t="shared" si="0"/>
        <v>66922</v>
      </c>
      <c r="F19" s="9">
        <v>0</v>
      </c>
      <c r="G19" s="9">
        <v>0</v>
      </c>
      <c r="H19" s="14" t="s">
        <v>3</v>
      </c>
      <c r="I19" s="1"/>
    </row>
    <row r="20" spans="1:9" ht="26.25" x14ac:dyDescent="0.25">
      <c r="A20" s="1"/>
      <c r="B20" s="51" t="s">
        <v>283</v>
      </c>
      <c r="C20" s="122" t="s">
        <v>284</v>
      </c>
      <c r="D20" s="9">
        <v>5183048</v>
      </c>
      <c r="E20" s="9">
        <f t="shared" si="0"/>
        <v>69107.306666666671</v>
      </c>
      <c r="F20" s="9">
        <v>0</v>
      </c>
      <c r="G20" s="9">
        <v>0</v>
      </c>
      <c r="H20" s="14" t="s">
        <v>3</v>
      </c>
      <c r="I20" s="1"/>
    </row>
    <row r="21" spans="1:9" ht="26.25" x14ac:dyDescent="0.25">
      <c r="A21" s="1"/>
      <c r="B21" s="51" t="s">
        <v>289</v>
      </c>
      <c r="C21" s="122" t="s">
        <v>284</v>
      </c>
      <c r="D21" s="9">
        <v>503610</v>
      </c>
      <c r="E21" s="9">
        <f t="shared" si="0"/>
        <v>6714.8</v>
      </c>
      <c r="F21" s="9">
        <v>0</v>
      </c>
      <c r="G21" s="9">
        <v>0</v>
      </c>
      <c r="H21" s="14" t="s">
        <v>3</v>
      </c>
      <c r="I21" s="1"/>
    </row>
    <row r="22" spans="1:9" x14ac:dyDescent="0.25">
      <c r="A22" s="1"/>
      <c r="B22" s="51" t="s">
        <v>285</v>
      </c>
      <c r="C22" s="122" t="s">
        <v>284</v>
      </c>
      <c r="D22" s="9">
        <v>5128282</v>
      </c>
      <c r="E22" s="9">
        <f t="shared" si="0"/>
        <v>68377.093333333338</v>
      </c>
      <c r="F22" s="9">
        <v>0</v>
      </c>
      <c r="G22" s="9">
        <v>0</v>
      </c>
      <c r="H22" s="14" t="s">
        <v>3</v>
      </c>
      <c r="I22" s="1"/>
    </row>
    <row r="23" spans="1:9" x14ac:dyDescent="0.25">
      <c r="A23" s="1"/>
      <c r="B23" s="51" t="s">
        <v>290</v>
      </c>
      <c r="C23" s="122" t="s">
        <v>282</v>
      </c>
      <c r="D23" s="9">
        <v>521225</v>
      </c>
      <c r="E23" s="9">
        <f t="shared" si="0"/>
        <v>10424.5</v>
      </c>
      <c r="F23" s="9">
        <v>0</v>
      </c>
      <c r="G23" s="9">
        <v>0</v>
      </c>
      <c r="H23" s="14" t="s">
        <v>3</v>
      </c>
      <c r="I23" s="1"/>
    </row>
    <row r="24" spans="1:9" x14ac:dyDescent="0.25">
      <c r="A24" s="1"/>
      <c r="B24" s="51" t="s">
        <v>287</v>
      </c>
      <c r="C24" s="122" t="s">
        <v>284</v>
      </c>
      <c r="D24" s="9">
        <v>4930273</v>
      </c>
      <c r="E24" s="9">
        <f t="shared" si="0"/>
        <v>65736.973333333328</v>
      </c>
      <c r="F24" s="9">
        <v>0</v>
      </c>
      <c r="G24" s="9">
        <v>0</v>
      </c>
      <c r="H24" s="14" t="s">
        <v>3</v>
      </c>
      <c r="I24" s="1"/>
    </row>
    <row r="25" spans="1:9" ht="26.25" x14ac:dyDescent="0.25">
      <c r="A25" s="1"/>
      <c r="B25" s="51" t="s">
        <v>283</v>
      </c>
      <c r="C25" s="122" t="s">
        <v>284</v>
      </c>
      <c r="D25" s="9">
        <v>4077884</v>
      </c>
      <c r="E25" s="9">
        <f t="shared" si="0"/>
        <v>54371.786666666667</v>
      </c>
      <c r="F25" s="9">
        <v>0</v>
      </c>
      <c r="G25" s="9">
        <v>0</v>
      </c>
      <c r="H25" s="14" t="s">
        <v>3</v>
      </c>
      <c r="I25" s="1"/>
    </row>
    <row r="26" spans="1:9" ht="26.25" x14ac:dyDescent="0.25">
      <c r="A26" s="1"/>
      <c r="B26" s="51" t="s">
        <v>289</v>
      </c>
      <c r="C26" s="122" t="s">
        <v>284</v>
      </c>
      <c r="D26" s="9">
        <v>2730135</v>
      </c>
      <c r="E26" s="9">
        <f t="shared" si="0"/>
        <v>36401.800000000003</v>
      </c>
      <c r="F26" s="9">
        <v>0</v>
      </c>
      <c r="G26" s="9">
        <v>0</v>
      </c>
      <c r="H26" s="14" t="s">
        <v>3</v>
      </c>
      <c r="I26" s="1"/>
    </row>
    <row r="27" spans="1:9" ht="26.25" x14ac:dyDescent="0.25">
      <c r="A27" s="1"/>
      <c r="B27" s="51" t="s">
        <v>291</v>
      </c>
      <c r="C27" s="122" t="s">
        <v>284</v>
      </c>
      <c r="D27" s="9">
        <v>348933</v>
      </c>
      <c r="E27" s="9">
        <f t="shared" si="0"/>
        <v>4652.4399999999996</v>
      </c>
      <c r="F27" s="9">
        <v>0</v>
      </c>
      <c r="G27" s="9">
        <v>0</v>
      </c>
      <c r="H27" s="14" t="s">
        <v>3</v>
      </c>
      <c r="I27" s="1"/>
    </row>
    <row r="28" spans="1:9" ht="26.25" x14ac:dyDescent="0.25">
      <c r="A28" s="1"/>
      <c r="B28" s="51" t="s">
        <v>292</v>
      </c>
      <c r="C28" s="122" t="s">
        <v>282</v>
      </c>
      <c r="D28" s="9">
        <v>2790753</v>
      </c>
      <c r="E28" s="9">
        <f t="shared" si="0"/>
        <v>55815.06</v>
      </c>
      <c r="F28" s="9">
        <v>0</v>
      </c>
      <c r="G28" s="9">
        <v>0</v>
      </c>
      <c r="H28" s="14" t="s">
        <v>3</v>
      </c>
      <c r="I28" s="1"/>
    </row>
    <row r="29" spans="1:9" ht="26.25" x14ac:dyDescent="0.25">
      <c r="A29" s="1"/>
      <c r="B29" s="51" t="s">
        <v>293</v>
      </c>
      <c r="C29" s="122" t="s">
        <v>294</v>
      </c>
      <c r="D29" s="9">
        <v>1179666</v>
      </c>
      <c r="E29" s="9">
        <f t="shared" ref="E29:E30" si="1">IFERROR(D29/C29,0)</f>
        <v>58983.3</v>
      </c>
      <c r="F29" s="9">
        <v>0</v>
      </c>
      <c r="G29" s="9">
        <v>0</v>
      </c>
      <c r="H29" s="14" t="s">
        <v>3</v>
      </c>
      <c r="I29" s="1"/>
    </row>
    <row r="30" spans="1:9" ht="26.25" x14ac:dyDescent="0.25">
      <c r="A30" s="1"/>
      <c r="B30" s="51" t="s">
        <v>295</v>
      </c>
      <c r="C30" s="122" t="s">
        <v>296</v>
      </c>
      <c r="D30" s="9">
        <v>20117</v>
      </c>
      <c r="E30" s="9">
        <f t="shared" si="1"/>
        <v>2011.7</v>
      </c>
      <c r="F30" s="9">
        <v>0</v>
      </c>
      <c r="G30" s="9">
        <v>0</v>
      </c>
      <c r="H30" s="14" t="s">
        <v>3</v>
      </c>
      <c r="I30" s="1"/>
    </row>
    <row r="31" spans="1:9" x14ac:dyDescent="0.25">
      <c r="A31" s="1"/>
      <c r="B31" s="102" t="s">
        <v>237</v>
      </c>
      <c r="C31" s="103"/>
      <c r="D31" s="104"/>
      <c r="E31" s="12">
        <f>SUM(E10:E30)</f>
        <v>855423.6333333333</v>
      </c>
      <c r="F31" s="12">
        <f t="shared" ref="F31:G31" si="2">SUM(F10:F30)</f>
        <v>0</v>
      </c>
      <c r="G31" s="12">
        <f t="shared" si="2"/>
        <v>0</v>
      </c>
      <c r="H31" s="13" t="s">
        <v>3</v>
      </c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</sheetData>
  <sheetProtection algorithmName="SHA-512" hashValue="AngTrLa3UJCw0LKZbNghlBUNuX+IFzn5lxyTm0XIDA/jDsvkqK5EonspPcC61FR2VbeHV3cr1ilE3UqV7uCpZQ==" saltValue="19TVGhNsSRJzDwqO+EGzFw==" spinCount="100000" sheet="1" objects="1" scenarios="1"/>
  <mergeCells count="3">
    <mergeCell ref="B3:H4"/>
    <mergeCell ref="B31:D3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164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105</v>
      </c>
      <c r="C8" s="38"/>
      <c r="D8" s="38"/>
      <c r="E8" s="38"/>
      <c r="F8" s="20"/>
      <c r="G8" s="1"/>
    </row>
    <row r="9" spans="1:7" ht="17.25" customHeight="1" x14ac:dyDescent="0.25">
      <c r="A9" s="1"/>
      <c r="B9" s="43" t="s">
        <v>18</v>
      </c>
      <c r="C9" s="43" t="s">
        <v>12</v>
      </c>
      <c r="D9" s="44"/>
      <c r="E9" s="43" t="s">
        <v>36</v>
      </c>
      <c r="F9" s="53"/>
      <c r="G9" s="1"/>
    </row>
    <row r="10" spans="1:7" x14ac:dyDescent="0.25">
      <c r="A10" s="1"/>
      <c r="B10" s="25" t="s">
        <v>238</v>
      </c>
      <c r="C10" s="22">
        <f>'Fane 9. Anlægsprojekter'!F31</f>
        <v>0</v>
      </c>
      <c r="D10" s="14" t="s">
        <v>3</v>
      </c>
      <c r="E10" s="9">
        <f>SUM('Fane 9. Anlægsprojekter'!E31,'Fane 9. Anlægsprojekter'!G31)</f>
        <v>855423.6333333333</v>
      </c>
      <c r="F10" s="14" t="s">
        <v>3</v>
      </c>
      <c r="G10" s="1"/>
    </row>
    <row r="11" spans="1:7" x14ac:dyDescent="0.25">
      <c r="A11" s="1"/>
      <c r="B11" s="123" t="s">
        <v>278</v>
      </c>
      <c r="C11" s="22">
        <v>0</v>
      </c>
      <c r="D11" s="14" t="s">
        <v>3</v>
      </c>
      <c r="E11" s="9">
        <v>1055953</v>
      </c>
      <c r="F11" s="14" t="s">
        <v>3</v>
      </c>
      <c r="G11" s="1"/>
    </row>
    <row r="12" spans="1:7" x14ac:dyDescent="0.25">
      <c r="A12" s="1"/>
      <c r="B12" s="25" t="s">
        <v>279</v>
      </c>
      <c r="C12" s="22">
        <v>797504</v>
      </c>
      <c r="D12" s="14" t="s">
        <v>3</v>
      </c>
      <c r="E12" s="9">
        <v>321370</v>
      </c>
      <c r="F12" s="14" t="s">
        <v>3</v>
      </c>
      <c r="G12" s="1"/>
    </row>
    <row r="13" spans="1:7" x14ac:dyDescent="0.25">
      <c r="A13" s="1"/>
      <c r="B13" s="37" t="s">
        <v>49</v>
      </c>
      <c r="C13" s="12">
        <f>SUM(C10:C12)</f>
        <v>797504</v>
      </c>
      <c r="D13" s="13" t="s">
        <v>3</v>
      </c>
      <c r="E13" s="12">
        <f>SUM(E10:E12)</f>
        <v>2232746.6333333333</v>
      </c>
      <c r="F13" s="13" t="s">
        <v>3</v>
      </c>
      <c r="G13" s="1"/>
    </row>
    <row r="14" spans="1:7" x14ac:dyDescent="0.25">
      <c r="A14" s="1"/>
      <c r="B14" s="37" t="s">
        <v>215</v>
      </c>
      <c r="C14" s="12">
        <f>C13*(1+'Fane 14. Nøgletal'!C13)</f>
        <v>807233.54879999999</v>
      </c>
      <c r="D14" s="13" t="s">
        <v>3</v>
      </c>
      <c r="E14" s="12">
        <f>E13*(1+'Fane 14. Nøgletal'!C13)</f>
        <v>2259986.1422600001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X8i4+jRUXSwj8pKiP1dMiBYVfC5+cQ+cXkCQUhcGilO42to0dCa8c/Kubzmi9aBFgd6yOMBnH5I9Dmm30tuCxg==" saltValue="jTaX2IS7Utb+F45vwIqYU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163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136</v>
      </c>
      <c r="C8" s="103"/>
      <c r="D8" s="103"/>
      <c r="E8" s="103"/>
      <c r="F8" s="104"/>
      <c r="G8" s="1"/>
    </row>
    <row r="9" spans="1:7" x14ac:dyDescent="0.25">
      <c r="A9" s="1"/>
      <c r="B9" s="43" t="s">
        <v>18</v>
      </c>
      <c r="C9" s="43" t="s">
        <v>12</v>
      </c>
      <c r="D9" s="44"/>
      <c r="E9" s="43" t="s">
        <v>36</v>
      </c>
      <c r="F9" s="53"/>
      <c r="G9" s="1"/>
    </row>
    <row r="10" spans="1:7" x14ac:dyDescent="0.25">
      <c r="A10" s="1"/>
      <c r="B10" s="25" t="s">
        <v>280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216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140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7" t="s">
        <v>139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02" t="s">
        <v>137</v>
      </c>
      <c r="C16" s="103"/>
      <c r="D16" s="103"/>
      <c r="E16" s="103"/>
      <c r="F16" s="104"/>
      <c r="G16" s="1"/>
    </row>
    <row r="17" spans="1:7" x14ac:dyDescent="0.25">
      <c r="A17" s="1"/>
      <c r="B17" s="43" t="s">
        <v>18</v>
      </c>
      <c r="C17" s="43" t="s">
        <v>12</v>
      </c>
      <c r="D17" s="44"/>
      <c r="E17" s="43" t="s">
        <v>36</v>
      </c>
      <c r="F17" s="53"/>
      <c r="G17" s="1"/>
    </row>
    <row r="18" spans="1:7" x14ac:dyDescent="0.25">
      <c r="A18" s="1"/>
      <c r="B18" s="25" t="s">
        <v>280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7" t="s">
        <v>216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140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7" t="s">
        <v>217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02" t="s">
        <v>138</v>
      </c>
      <c r="C24" s="103"/>
      <c r="D24" s="103"/>
      <c r="E24" s="103"/>
      <c r="F24" s="104"/>
      <c r="G24" s="1"/>
    </row>
    <row r="25" spans="1:7" x14ac:dyDescent="0.25">
      <c r="A25" s="1"/>
      <c r="B25" s="43" t="s">
        <v>18</v>
      </c>
      <c r="C25" s="43" t="s">
        <v>12</v>
      </c>
      <c r="D25" s="44"/>
      <c r="E25" s="43" t="s">
        <v>36</v>
      </c>
      <c r="F25" s="53"/>
      <c r="G25" s="1"/>
    </row>
    <row r="26" spans="1:7" x14ac:dyDescent="0.25">
      <c r="A26" s="1"/>
      <c r="B26" s="25" t="s">
        <v>280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7" t="s">
        <v>216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140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7" t="s">
        <v>217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2" t="s">
        <v>218</v>
      </c>
      <c r="C32" s="103"/>
      <c r="D32" s="103"/>
      <c r="E32" s="103"/>
      <c r="F32" s="104"/>
      <c r="G32" s="1"/>
    </row>
    <row r="33" spans="1:7" x14ac:dyDescent="0.25">
      <c r="A33" s="1"/>
      <c r="B33" s="43" t="s">
        <v>18</v>
      </c>
      <c r="C33" s="43" t="s">
        <v>12</v>
      </c>
      <c r="D33" s="44"/>
      <c r="E33" s="43" t="s">
        <v>36</v>
      </c>
      <c r="F33" s="53"/>
      <c r="G33" s="1"/>
    </row>
    <row r="34" spans="1:7" x14ac:dyDescent="0.25">
      <c r="A34" s="1"/>
      <c r="B34" s="25" t="s">
        <v>280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7" t="s">
        <v>216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140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7" t="s">
        <v>217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lTIQKyJfKe8fApiKomjN59YbYlJ0RgyQdZE/l6zj3FMNNT+GmXujNMpaJBW20GMjpxS5z+1OWBYXvvXakxA3EA==" saltValue="knn1FDjSgulO723S0ytmA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175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123</v>
      </c>
      <c r="C8" s="103"/>
      <c r="D8" s="103"/>
      <c r="E8" s="103"/>
      <c r="F8" s="104"/>
      <c r="G8" s="1"/>
    </row>
    <row r="9" spans="1:7" x14ac:dyDescent="0.25">
      <c r="A9" s="1"/>
      <c r="B9" s="117" t="s">
        <v>219</v>
      </c>
      <c r="C9" s="118"/>
      <c r="D9" s="119"/>
      <c r="E9" s="9">
        <v>0</v>
      </c>
      <c r="F9" s="14" t="s">
        <v>3</v>
      </c>
      <c r="G9" s="1"/>
    </row>
    <row r="10" spans="1:7" x14ac:dyDescent="0.25">
      <c r="A10" s="1"/>
      <c r="B10" s="89" t="s">
        <v>10</v>
      </c>
      <c r="C10" s="90"/>
      <c r="D10" s="91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89" t="s">
        <v>29</v>
      </c>
      <c r="C11" s="90"/>
      <c r="D11" s="91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102" t="s">
        <v>126</v>
      </c>
      <c r="C12" s="103"/>
      <c r="D12" s="104"/>
      <c r="E12" s="12">
        <f>SUM(E9:E11)*(1+'Fane 14. Nøgletal'!C10)^2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2" t="s">
        <v>124</v>
      </c>
      <c r="C14" s="103"/>
      <c r="D14" s="103"/>
      <c r="E14" s="103"/>
      <c r="F14" s="104"/>
      <c r="G14" s="1"/>
    </row>
    <row r="15" spans="1:7" x14ac:dyDescent="0.25">
      <c r="A15" s="1"/>
      <c r="B15" s="117" t="s">
        <v>219</v>
      </c>
      <c r="C15" s="118"/>
      <c r="D15" s="119"/>
      <c r="E15" s="9">
        <v>0</v>
      </c>
      <c r="F15" s="14" t="s">
        <v>3</v>
      </c>
      <c r="G15" s="1"/>
    </row>
    <row r="16" spans="1:7" x14ac:dyDescent="0.25">
      <c r="A16" s="1"/>
      <c r="B16" s="89" t="s">
        <v>10</v>
      </c>
      <c r="C16" s="90"/>
      <c r="D16" s="91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89" t="s">
        <v>29</v>
      </c>
      <c r="C17" s="90"/>
      <c r="D17" s="91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102" t="s">
        <v>127</v>
      </c>
      <c r="C18" s="103"/>
      <c r="D18" s="104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2" t="s">
        <v>125</v>
      </c>
      <c r="C20" s="103"/>
      <c r="D20" s="103"/>
      <c r="E20" s="103"/>
      <c r="F20" s="104"/>
      <c r="G20" s="1"/>
    </row>
    <row r="21" spans="1:7" x14ac:dyDescent="0.25">
      <c r="A21" s="1"/>
      <c r="B21" s="117" t="s">
        <v>219</v>
      </c>
      <c r="C21" s="118"/>
      <c r="D21" s="119"/>
      <c r="E21" s="9">
        <v>0</v>
      </c>
      <c r="F21" s="14" t="s">
        <v>3</v>
      </c>
      <c r="G21" s="1"/>
    </row>
    <row r="22" spans="1:7" x14ac:dyDescent="0.25">
      <c r="A22" s="1"/>
      <c r="B22" s="89" t="s">
        <v>10</v>
      </c>
      <c r="C22" s="90"/>
      <c r="D22" s="91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89" t="s">
        <v>29</v>
      </c>
      <c r="C23" s="90"/>
      <c r="D23" s="91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102" t="s">
        <v>128</v>
      </c>
      <c r="C24" s="103"/>
      <c r="D24" s="104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2" t="s">
        <v>220</v>
      </c>
      <c r="C26" s="103"/>
      <c r="D26" s="103"/>
      <c r="E26" s="103"/>
      <c r="F26" s="104"/>
      <c r="G26" s="1"/>
    </row>
    <row r="27" spans="1:7" x14ac:dyDescent="0.25">
      <c r="A27" s="1"/>
      <c r="B27" s="117" t="s">
        <v>122</v>
      </c>
      <c r="C27" s="118"/>
      <c r="D27" s="119"/>
      <c r="E27" s="9">
        <v>0</v>
      </c>
      <c r="F27" s="14" t="s">
        <v>3</v>
      </c>
      <c r="G27" s="1"/>
    </row>
    <row r="28" spans="1:7" x14ac:dyDescent="0.25">
      <c r="A28" s="1"/>
      <c r="B28" s="89" t="s">
        <v>10</v>
      </c>
      <c r="C28" s="90"/>
      <c r="D28" s="91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89" t="s">
        <v>29</v>
      </c>
      <c r="C29" s="90"/>
      <c r="D29" s="91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102" t="s">
        <v>221</v>
      </c>
      <c r="C30" s="103"/>
      <c r="D30" s="104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Go0BYQhfcRDCy1KsRJI6DPWLnNq/opW9ub4NlthJdB4ERODIw6ce9H2tu84DpT3G512SGQtStB4Zx9qWw5upg==" saltValue="pcW7lFuNTkwTz8Xt8+fIaA==" spinCount="100000" sheet="1" objects="1" scenarios="1"/>
  <mergeCells count="21"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223</v>
      </c>
      <c r="C8" s="103"/>
      <c r="D8" s="103"/>
      <c r="E8" s="103"/>
      <c r="F8" s="104"/>
      <c r="G8" s="1"/>
    </row>
    <row r="9" spans="1:7" ht="15" customHeight="1" x14ac:dyDescent="0.25">
      <c r="A9" s="1"/>
      <c r="B9" s="52" t="s">
        <v>224</v>
      </c>
      <c r="C9" s="77" t="s">
        <v>12</v>
      </c>
      <c r="D9" s="79"/>
      <c r="E9" s="120" t="s">
        <v>36</v>
      </c>
      <c r="F9" s="121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225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yR2Zxq8f+Ixt9rdfcKCmoV49dvoQE/esR9tcVPbT/ZQ1BG1vFu3oKAlvfk/9MEVG6XVF+Uw0KyowXe3Z/qWxLw==" saltValue="qAF5YlTEJtf/9wRZYJ0Uw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162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130</v>
      </c>
      <c r="C8" s="103"/>
      <c r="D8" s="103"/>
      <c r="E8" s="103"/>
      <c r="F8" s="104"/>
      <c r="G8" s="1"/>
    </row>
    <row r="9" spans="1:7" ht="15" customHeight="1" x14ac:dyDescent="0.25">
      <c r="A9" s="1"/>
      <c r="B9" s="52" t="s">
        <v>19</v>
      </c>
      <c r="C9" s="52" t="s">
        <v>12</v>
      </c>
      <c r="D9" s="53"/>
      <c r="E9" s="52" t="s">
        <v>36</v>
      </c>
      <c r="F9" s="53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7" t="s">
        <v>116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2" t="s">
        <v>129</v>
      </c>
      <c r="C14" s="103"/>
      <c r="D14" s="103"/>
      <c r="E14" s="103"/>
      <c r="F14" s="104"/>
      <c r="G14" s="1"/>
    </row>
    <row r="15" spans="1:7" ht="26.25" x14ac:dyDescent="0.25">
      <c r="A15" s="1"/>
      <c r="B15" s="52" t="s">
        <v>19</v>
      </c>
      <c r="C15" s="52" t="s">
        <v>12</v>
      </c>
      <c r="D15" s="53"/>
      <c r="E15" s="52" t="s">
        <v>36</v>
      </c>
      <c r="F15" s="53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7" t="s">
        <v>50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7" t="s">
        <v>117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2" t="s">
        <v>131</v>
      </c>
      <c r="C20" s="103"/>
      <c r="D20" s="103"/>
      <c r="E20" s="103"/>
      <c r="F20" s="104"/>
      <c r="G20" s="1"/>
    </row>
    <row r="21" spans="1:7" ht="26.25" x14ac:dyDescent="0.25">
      <c r="A21" s="1"/>
      <c r="B21" s="52" t="s">
        <v>19</v>
      </c>
      <c r="C21" s="52" t="s">
        <v>12</v>
      </c>
      <c r="D21" s="53"/>
      <c r="E21" s="52" t="s">
        <v>36</v>
      </c>
      <c r="F21" s="53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7" t="s">
        <v>50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7" t="s">
        <v>118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2" t="s">
        <v>227</v>
      </c>
      <c r="C26" s="103"/>
      <c r="D26" s="103"/>
      <c r="E26" s="103"/>
      <c r="F26" s="104"/>
      <c r="G26" s="1"/>
    </row>
    <row r="27" spans="1:7" ht="26.25" x14ac:dyDescent="0.25">
      <c r="A27" s="1"/>
      <c r="B27" s="52" t="s">
        <v>19</v>
      </c>
      <c r="C27" s="52" t="s">
        <v>12</v>
      </c>
      <c r="D27" s="53"/>
      <c r="E27" s="52" t="s">
        <v>36</v>
      </c>
      <c r="F27" s="53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7" t="s">
        <v>50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7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d++I8sAYfp3cePOM5X7LYap/xWx5pOr+7NMRWHl4RWsr7FZdmfxS0zhJCTORtd4XaRMkoJJj4oqisIgqAeF0Q==" saltValue="Ou7/0RX2u8KyjlfxlWbIf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265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7" t="s">
        <v>15</v>
      </c>
      <c r="C8" s="20"/>
      <c r="D8" s="1"/>
    </row>
    <row r="9" spans="1:4" x14ac:dyDescent="0.25">
      <c r="A9" s="1"/>
      <c r="B9" s="49" t="s">
        <v>168</v>
      </c>
      <c r="C9" s="26">
        <v>1.2699999999999999E-2</v>
      </c>
      <c r="D9" s="1"/>
    </row>
    <row r="10" spans="1:4" x14ac:dyDescent="0.25">
      <c r="A10" s="1"/>
      <c r="B10" s="49" t="s">
        <v>169</v>
      </c>
      <c r="C10" s="26">
        <v>1.7500000000000002E-2</v>
      </c>
      <c r="D10" s="1"/>
    </row>
    <row r="11" spans="1:4" x14ac:dyDescent="0.25">
      <c r="A11" s="1"/>
      <c r="B11" s="49" t="s">
        <v>24</v>
      </c>
      <c r="C11" s="26">
        <v>1.6899999999999998E-2</v>
      </c>
      <c r="D11" s="1"/>
    </row>
    <row r="12" spans="1:4" x14ac:dyDescent="0.25">
      <c r="A12" s="1"/>
      <c r="B12" s="31" t="s">
        <v>48</v>
      </c>
      <c r="C12" s="32">
        <v>1.9699999999999999E-2</v>
      </c>
      <c r="D12" s="1"/>
    </row>
    <row r="13" spans="1:4" x14ac:dyDescent="0.25">
      <c r="A13" s="1"/>
      <c r="B13" s="31" t="s">
        <v>229</v>
      </c>
      <c r="C13" s="32">
        <v>1.2200000000000001E-2</v>
      </c>
      <c r="D13" s="1"/>
    </row>
    <row r="14" spans="1:4" x14ac:dyDescent="0.25">
      <c r="A14" s="1"/>
      <c r="B14" s="37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7" t="s">
        <v>150</v>
      </c>
      <c r="C17" s="20"/>
      <c r="D17" s="1"/>
    </row>
    <row r="18" spans="1:4" x14ac:dyDescent="0.25">
      <c r="A18" s="1"/>
      <c r="B18" s="49" t="s">
        <v>170</v>
      </c>
      <c r="C18" s="23">
        <v>9.1000000000000004E-3</v>
      </c>
      <c r="D18" s="1"/>
    </row>
    <row r="19" spans="1:4" x14ac:dyDescent="0.25">
      <c r="A19" s="1"/>
      <c r="B19" s="49" t="s">
        <v>172</v>
      </c>
      <c r="C19" s="23">
        <v>1.77E-2</v>
      </c>
      <c r="D19" s="1"/>
    </row>
    <row r="20" spans="1:4" x14ac:dyDescent="0.25">
      <c r="A20" s="1"/>
      <c r="B20" s="49" t="s">
        <v>171</v>
      </c>
      <c r="C20" s="23">
        <v>8.6999999999999994E-3</v>
      </c>
      <c r="D20" s="1"/>
    </row>
    <row r="21" spans="1:4" x14ac:dyDescent="0.25">
      <c r="A21" s="1"/>
      <c r="B21" s="49" t="s">
        <v>173</v>
      </c>
      <c r="C21" s="33">
        <v>2.8400000000000002E-2</v>
      </c>
      <c r="D21" s="1"/>
    </row>
    <row r="22" spans="1:4" x14ac:dyDescent="0.25">
      <c r="A22" s="1"/>
      <c r="B22" s="49" t="s">
        <v>230</v>
      </c>
      <c r="C22" s="33">
        <v>2.75E-2</v>
      </c>
      <c r="D22" s="1"/>
    </row>
    <row r="23" spans="1:4" x14ac:dyDescent="0.25">
      <c r="A23" s="1"/>
      <c r="B23" s="37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7" t="s">
        <v>149</v>
      </c>
      <c r="C26" s="20"/>
      <c r="D26" s="1"/>
    </row>
    <row r="27" spans="1:4" x14ac:dyDescent="0.25">
      <c r="A27" s="1"/>
      <c r="B27" s="49" t="s">
        <v>174</v>
      </c>
      <c r="C27" s="26">
        <v>0.02</v>
      </c>
      <c r="D27" s="1"/>
    </row>
    <row r="28" spans="1:4" x14ac:dyDescent="0.25">
      <c r="A28" s="1"/>
      <c r="B28" s="37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/tC0oIGP2IG2nlPTr6COnpyxIgUxZ4MtsJ6VAlJqnyNKTCyoDAUQG9oEjpfmCPb33/CXCMn3m6lvz1EOpM+mlg==" saltValue="0aWzbAohoJucIt+zoVXfY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192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x14ac:dyDescent="0.25">
      <c r="A9" s="1"/>
      <c r="B9" s="40" t="s">
        <v>27</v>
      </c>
      <c r="C9" s="7">
        <f>'Fane 3. Omkostninger i ØR2020'!E22</f>
        <v>189753632.17217138</v>
      </c>
      <c r="D9" s="8" t="s">
        <v>3</v>
      </c>
      <c r="E9" s="1"/>
    </row>
    <row r="10" spans="1:5" x14ac:dyDescent="0.25">
      <c r="A10" s="1"/>
      <c r="B10" s="50" t="s">
        <v>231</v>
      </c>
      <c r="C10" s="7">
        <f>'Fane 3. Omkostninger i ØR2020'!E10*(1+'Fane 14. Nøgletal'!C11)*(1-'Fane 14. Nøgletal'!C27-'Fane 5. Individuelt eff. krav'!G10)</f>
        <v>0</v>
      </c>
      <c r="D10" s="8" t="s">
        <v>3</v>
      </c>
      <c r="E10" s="1"/>
    </row>
    <row r="11" spans="1:5" x14ac:dyDescent="0.25">
      <c r="A11" s="1"/>
      <c r="B11" s="50" t="s">
        <v>232</v>
      </c>
      <c r="C11" s="7">
        <f>'Fane 3. Omkostninger i ØR2020'!E11*(1+'Fane 14. Nøgletal'!C11)*(1-'Fane 14. Nøgletal'!C20-'Fane 5. Individuelt eff. krav'!G10)</f>
        <v>797399.5903093745</v>
      </c>
      <c r="D11" s="8" t="s">
        <v>3</v>
      </c>
      <c r="E11" s="1"/>
    </row>
    <row r="12" spans="1:5" ht="17.100000000000001" customHeight="1" x14ac:dyDescent="0.25">
      <c r="A12" s="1"/>
      <c r="B12" s="50" t="s">
        <v>153</v>
      </c>
      <c r="C12" s="7">
        <f>SUM('Fane 3. Omkostninger i ØR2020'!E12,'Fane 3. Omkostninger i ØR2020'!E14,'Fane 3. Omkostninger i ØR2020'!E16)*(1-'Fane 14. Nøgletal'!C27-'Fane 5. Individuelt eff. krav'!G10)*(1+'Fane 14. Nøgletal'!C12)</f>
        <v>1093824.0678060234</v>
      </c>
      <c r="D12" s="8" t="s">
        <v>3</v>
      </c>
      <c r="E12" s="1"/>
    </row>
    <row r="13" spans="1:5" ht="17.100000000000001" customHeight="1" x14ac:dyDescent="0.25">
      <c r="A13" s="1"/>
      <c r="B13" s="50" t="s">
        <v>154</v>
      </c>
      <c r="C13" s="7">
        <f>SUM('Fane 3. Omkostninger i ØR2020'!E13,'Fane 3. Omkostninger i ØR2020'!E15,'Fane 3. Omkostninger i ØR2020'!E17)*(1-'Fane 14. Nøgletal'!C21-'Fane 5. Individuelt eff. krav'!G10)*(1+'Fane 14. Nøgletal'!C12)</f>
        <v>1628452.2783348197</v>
      </c>
      <c r="D13" s="8" t="s">
        <v>3</v>
      </c>
      <c r="E13" s="1"/>
    </row>
    <row r="14" spans="1:5" ht="17.100000000000001" customHeight="1" x14ac:dyDescent="0.25">
      <c r="A14" s="1"/>
      <c r="B14" s="42" t="s">
        <v>46</v>
      </c>
      <c r="C14" s="7">
        <f>'Fane 10.1. Varige tillæg'!C14</f>
        <v>807233.54879999999</v>
      </c>
      <c r="D14" s="8" t="s">
        <v>3</v>
      </c>
      <c r="E14" s="1"/>
    </row>
    <row r="15" spans="1:5" ht="17.100000000000001" customHeight="1" x14ac:dyDescent="0.25">
      <c r="A15" s="1"/>
      <c r="B15" s="42" t="s">
        <v>47</v>
      </c>
      <c r="C15" s="9">
        <f>'Fane 10.1. Varige tillæg'!E14</f>
        <v>2259986.1422600001</v>
      </c>
      <c r="D15" s="8" t="s">
        <v>3</v>
      </c>
      <c r="E15" s="1"/>
    </row>
    <row r="16" spans="1:5" ht="17.100000000000001" customHeight="1" x14ac:dyDescent="0.25">
      <c r="A16" s="1"/>
      <c r="B16" s="42" t="s">
        <v>32</v>
      </c>
      <c r="C16" s="9">
        <f>-'Fane 13. Bortfald'!C12</f>
        <v>0</v>
      </c>
      <c r="D16" s="8" t="s">
        <v>3</v>
      </c>
      <c r="E16" s="1"/>
    </row>
    <row r="17" spans="1:5" ht="17.100000000000001" customHeight="1" x14ac:dyDescent="0.25">
      <c r="A17" s="1"/>
      <c r="B17" s="42" t="s">
        <v>31</v>
      </c>
      <c r="C17" s="9">
        <f>-'Fane 13. Bortfald'!E12</f>
        <v>0</v>
      </c>
      <c r="D17" s="8" t="s">
        <v>3</v>
      </c>
      <c r="E17" s="1"/>
    </row>
    <row r="18" spans="1:5" ht="17.100000000000001" customHeight="1" x14ac:dyDescent="0.25">
      <c r="A18" s="1"/>
      <c r="B18" s="42" t="s">
        <v>193</v>
      </c>
      <c r="C18" s="9">
        <f>'Fane 12. Tilknyttet virksomhed'!C12</f>
        <v>0</v>
      </c>
      <c r="D18" s="8" t="s">
        <v>3</v>
      </c>
      <c r="E18" s="1"/>
    </row>
    <row r="19" spans="1:5" ht="17.100000000000001" customHeight="1" x14ac:dyDescent="0.25">
      <c r="A19" s="1"/>
      <c r="B19" s="42" t="s">
        <v>194</v>
      </c>
      <c r="C19" s="9">
        <f>'Fane 12. Tilknyttet virksomhed'!E12</f>
        <v>0</v>
      </c>
      <c r="D19" s="8" t="s">
        <v>3</v>
      </c>
      <c r="E19" s="1"/>
    </row>
    <row r="20" spans="1:5" ht="17.100000000000001" customHeight="1" x14ac:dyDescent="0.25">
      <c r="A20" s="1"/>
      <c r="B20" s="42" t="s">
        <v>20</v>
      </c>
      <c r="C20" s="9">
        <f>(C9-SUM(C10:C13))*'Fane 14. Nøgletal'!C10+SUM(C10:C11)*'Fane 14. Nøgletal'!C11+SUM(C12:C13)*'Fane 14. Nøgletal'!C12+SUM(C14:C19)*'Fane 14. Nøgletal'!C13</f>
        <v>3363619.2114512566</v>
      </c>
      <c r="D20" s="8" t="s">
        <v>3</v>
      </c>
      <c r="E20" s="1"/>
    </row>
    <row r="21" spans="1:5" ht="17.100000000000001" customHeight="1" x14ac:dyDescent="0.25">
      <c r="A21" s="1"/>
      <c r="B21" s="42" t="s">
        <v>10</v>
      </c>
      <c r="C21" s="9">
        <f>-SUM(C9,C14:C20)*'Fane 5. Individuelt eff. krav'!G10</f>
        <v>0</v>
      </c>
      <c r="D21" s="8" t="s">
        <v>3</v>
      </c>
      <c r="E21" s="1"/>
    </row>
    <row r="22" spans="1:5" ht="17.100000000000001" customHeight="1" x14ac:dyDescent="0.25">
      <c r="A22" s="1"/>
      <c r="B22" s="42" t="s">
        <v>29</v>
      </c>
      <c r="C22" s="9">
        <f>-'Fane 4.1. Gen. krav - drift'!G36</f>
        <v>-1347545.4547849644</v>
      </c>
      <c r="D22" s="8" t="s">
        <v>3</v>
      </c>
      <c r="E22" s="1"/>
    </row>
    <row r="23" spans="1:5" ht="15" customHeight="1" x14ac:dyDescent="0.25">
      <c r="A23" s="1"/>
      <c r="B23" s="42" t="s">
        <v>30</v>
      </c>
      <c r="C23" s="9">
        <f>-'Fane 4.2. Gen. krav - anlæg'!G35</f>
        <v>-2324784.4730894696</v>
      </c>
      <c r="D23" s="8" t="s">
        <v>3</v>
      </c>
      <c r="E23" s="1"/>
    </row>
    <row r="24" spans="1:5" ht="15" customHeight="1" x14ac:dyDescent="0.25">
      <c r="A24" s="1"/>
      <c r="B24" s="48" t="s">
        <v>22</v>
      </c>
      <c r="C24" s="10">
        <f>SUM(C9,C14:C23)</f>
        <v>192512141.14680821</v>
      </c>
      <c r="D24" s="11" t="s">
        <v>3</v>
      </c>
      <c r="E24" s="1"/>
    </row>
    <row r="25" spans="1:5" ht="15" customHeight="1" x14ac:dyDescent="0.25">
      <c r="A25" s="1"/>
      <c r="B25" s="37" t="s">
        <v>13</v>
      </c>
      <c r="C25" s="38"/>
      <c r="D25" s="20"/>
      <c r="E25" s="1"/>
    </row>
    <row r="26" spans="1:5" ht="15" customHeight="1" x14ac:dyDescent="0.25">
      <c r="A26" s="1"/>
      <c r="B26" s="52" t="s">
        <v>13</v>
      </c>
      <c r="C26" s="10">
        <f>'Fane 6. Ikke-påvirkelige omk.'!C17+'Fane 6. Ikke-påvirkelige omk.'!C21+'Fane 6. Ikke-påvirkelige omk.'!C29</f>
        <v>10566871.515342321</v>
      </c>
      <c r="D26" s="11" t="s">
        <v>3</v>
      </c>
      <c r="E26" s="1"/>
    </row>
    <row r="27" spans="1:5" ht="15" customHeight="1" x14ac:dyDescent="0.25">
      <c r="A27" s="1"/>
      <c r="B27" s="37" t="s">
        <v>111</v>
      </c>
      <c r="C27" s="38"/>
      <c r="D27" s="20"/>
      <c r="E27" s="1"/>
    </row>
    <row r="28" spans="1:5" ht="15" customHeight="1" x14ac:dyDescent="0.25">
      <c r="A28" s="1"/>
      <c r="B28" s="48" t="s">
        <v>111</v>
      </c>
      <c r="C28" s="10">
        <f>'Fane 11. Periodevise driftsomk.'!E12</f>
        <v>0</v>
      </c>
      <c r="D28" s="11" t="s">
        <v>3</v>
      </c>
      <c r="E28" s="1"/>
    </row>
    <row r="29" spans="1:5" ht="15" customHeight="1" x14ac:dyDescent="0.25">
      <c r="A29" s="1"/>
      <c r="B29" s="37" t="s">
        <v>110</v>
      </c>
      <c r="C29" s="38"/>
      <c r="D29" s="20"/>
      <c r="E29" s="1"/>
    </row>
    <row r="30" spans="1:5" x14ac:dyDescent="0.25">
      <c r="A30" s="1"/>
      <c r="B30" s="42" t="s">
        <v>106</v>
      </c>
      <c r="C30" s="9">
        <f>'Fane 10.2. Engangstillæg'!C14</f>
        <v>0</v>
      </c>
      <c r="D30" s="8" t="s">
        <v>3</v>
      </c>
      <c r="E30" s="1"/>
    </row>
    <row r="31" spans="1:5" ht="15" customHeight="1" x14ac:dyDescent="0.25">
      <c r="A31" s="1"/>
      <c r="B31" s="42" t="s">
        <v>107</v>
      </c>
      <c r="C31" s="9">
        <f>'Fane 10.2. Engangstillæg'!E14</f>
        <v>0</v>
      </c>
      <c r="D31" s="8" t="s">
        <v>3</v>
      </c>
      <c r="E31" s="1"/>
    </row>
    <row r="32" spans="1:5" x14ac:dyDescent="0.25">
      <c r="A32" s="1"/>
      <c r="B32" s="48" t="s">
        <v>112</v>
      </c>
      <c r="C32" s="10">
        <f>SUM(C30:C31)</f>
        <v>0</v>
      </c>
      <c r="D32" s="11" t="s">
        <v>3</v>
      </c>
      <c r="E32" s="1"/>
    </row>
    <row r="33" spans="1:5" x14ac:dyDescent="0.25">
      <c r="A33" s="1"/>
      <c r="B33" s="37" t="s">
        <v>191</v>
      </c>
      <c r="C33" s="38"/>
      <c r="D33" s="20"/>
      <c r="E33" s="1"/>
    </row>
    <row r="34" spans="1:5" x14ac:dyDescent="0.25">
      <c r="A34" s="1"/>
      <c r="B34" s="52" t="s">
        <v>191</v>
      </c>
      <c r="C34" s="10">
        <f>'Fane 8. Korrektion af ØR2019'!E17</f>
        <v>-207092</v>
      </c>
      <c r="D34" s="11" t="s">
        <v>3</v>
      </c>
      <c r="E34" s="1"/>
    </row>
    <row r="35" spans="1:5" x14ac:dyDescent="0.25">
      <c r="A35" s="1"/>
      <c r="B35" s="37" t="s">
        <v>33</v>
      </c>
      <c r="C35" s="12">
        <f>SUM(C24,C26,C28,C32,C34)</f>
        <v>202871920.66215053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osdvU5aXIBVW68P5Ufnx3NNBs12Dia/426h+uDJsllHz26d0l50RY9S2quN1zasuRMuzeoy1c4XBicGJ7LNcHg==" saltValue="m58xqY701N7VdQULKKSFQ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ht="15" customHeight="1" x14ac:dyDescent="0.25">
      <c r="A9" s="1"/>
      <c r="B9" s="40" t="s">
        <v>28</v>
      </c>
      <c r="C9" s="7">
        <f>'Fane 2.1. Økonomisk ramme 2021'!C24</f>
        <v>192512141.14680821</v>
      </c>
      <c r="D9" s="8" t="s">
        <v>3</v>
      </c>
      <c r="E9" s="1"/>
    </row>
    <row r="10" spans="1:5" ht="15" customHeight="1" x14ac:dyDescent="0.25">
      <c r="A10" s="1"/>
      <c r="B10" s="42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2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41" t="s">
        <v>20</v>
      </c>
      <c r="C12" s="9">
        <f>SUM(C9:C11)*'Fane 14. Nøgletal'!C13</f>
        <v>2348648.1219910602</v>
      </c>
      <c r="D12" s="8" t="s">
        <v>3</v>
      </c>
      <c r="E12" s="1"/>
    </row>
    <row r="13" spans="1:5" ht="15" customHeight="1" x14ac:dyDescent="0.25">
      <c r="A13" s="1"/>
      <c r="B13" s="41" t="s">
        <v>10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1" t="s">
        <v>29</v>
      </c>
      <c r="C14" s="9">
        <f>-'Fane 4.1. Gen. krav - drift'!G42</f>
        <v>-1336705.7991466741</v>
      </c>
      <c r="D14" s="8" t="s">
        <v>3</v>
      </c>
      <c r="E14" s="1"/>
    </row>
    <row r="15" spans="1:5" ht="15" customHeight="1" x14ac:dyDescent="0.25">
      <c r="A15" s="1"/>
      <c r="B15" s="41" t="s">
        <v>30</v>
      </c>
      <c r="C15" s="9">
        <f>-'Fane 4.2. Gen. krav - anlæg'!G41</f>
        <v>-3539587.184354451</v>
      </c>
      <c r="D15" s="8" t="s">
        <v>3</v>
      </c>
      <c r="E15" s="1"/>
    </row>
    <row r="16" spans="1:5" ht="15" customHeight="1" x14ac:dyDescent="0.25">
      <c r="A16" s="1"/>
      <c r="B16" s="45" t="s">
        <v>22</v>
      </c>
      <c r="C16" s="10">
        <f>SUM(C9:C15)</f>
        <v>189984496.28529814</v>
      </c>
      <c r="D16" s="11" t="s">
        <v>3</v>
      </c>
      <c r="E16" s="1"/>
    </row>
    <row r="17" spans="1:5" ht="15" customHeight="1" x14ac:dyDescent="0.25">
      <c r="A17" s="1"/>
      <c r="B17" s="37" t="s">
        <v>13</v>
      </c>
      <c r="C17" s="38"/>
      <c r="D17" s="20"/>
      <c r="E17" s="1"/>
    </row>
    <row r="18" spans="1:5" ht="15" customHeight="1" x14ac:dyDescent="0.25">
      <c r="A18" s="1"/>
      <c r="B18" s="52" t="s">
        <v>13</v>
      </c>
      <c r="C18" s="10">
        <f>'Fane 6. Ikke-påvirkelige omk.'!C17*(1+'Fane 14. Nøgletal'!C13)+'Fane 6. Ikke-påvirkelige omk.'!C22+'Fane 6. Ikke-påvirkelige omk.'!C30</f>
        <v>8186688.1716294969</v>
      </c>
      <c r="D18" s="11" t="s">
        <v>3</v>
      </c>
      <c r="E18" s="1"/>
    </row>
    <row r="19" spans="1:5" ht="15" customHeight="1" x14ac:dyDescent="0.25">
      <c r="A19" s="1"/>
      <c r="B19" s="37" t="s">
        <v>111</v>
      </c>
      <c r="C19" s="38"/>
      <c r="D19" s="20"/>
      <c r="E19" s="1"/>
    </row>
    <row r="20" spans="1:5" ht="15" customHeight="1" x14ac:dyDescent="0.25">
      <c r="A20" s="1"/>
      <c r="B20" s="48" t="s">
        <v>111</v>
      </c>
      <c r="C20" s="10">
        <f>'Fane 11. Periodevise driftsomk.'!E18</f>
        <v>0</v>
      </c>
      <c r="D20" s="11" t="s">
        <v>3</v>
      </c>
      <c r="E20" s="1"/>
    </row>
    <row r="21" spans="1:5" x14ac:dyDescent="0.25">
      <c r="A21" s="1"/>
      <c r="B21" s="37" t="s">
        <v>110</v>
      </c>
      <c r="C21" s="38"/>
      <c r="D21" s="20"/>
      <c r="E21" s="1"/>
    </row>
    <row r="22" spans="1:5" ht="15" customHeight="1" x14ac:dyDescent="0.25">
      <c r="A22" s="1"/>
      <c r="B22" s="42" t="s">
        <v>106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2" t="s">
        <v>107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8" t="s">
        <v>112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7" t="s">
        <v>261</v>
      </c>
      <c r="C25" s="38"/>
      <c r="D25" s="20"/>
      <c r="E25" s="1"/>
    </row>
    <row r="26" spans="1:5" ht="15" customHeight="1" x14ac:dyDescent="0.25">
      <c r="A26" s="1"/>
      <c r="B26" s="52" t="s">
        <v>249</v>
      </c>
      <c r="C26" s="10">
        <f>'Fane 7. Kontrol af ØR2019'!E35</f>
        <v>0</v>
      </c>
      <c r="D26" s="11" t="s">
        <v>3</v>
      </c>
      <c r="E26" s="1"/>
    </row>
    <row r="27" spans="1:5" ht="15" customHeight="1" x14ac:dyDescent="0.25">
      <c r="A27" s="1"/>
      <c r="B27" s="37" t="s">
        <v>34</v>
      </c>
      <c r="C27" s="12">
        <f>SUM(C16,C18,C20,C24,C26)</f>
        <v>198171184.45692763</v>
      </c>
      <c r="D27" s="13" t="s">
        <v>3</v>
      </c>
      <c r="E27" s="1"/>
    </row>
    <row r="28" spans="1:5" ht="15" customHeight="1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d/T6039QEi6Cw5Za3L2VY7TzgrynulJ7PzWAJcNXX5zNM2eeZUlGgymkkWHEg/3uLkU91wYydRKI4sKM4d8syg==" saltValue="sOcF/jcrBKHu2kovNBr3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196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0" t="s">
        <v>155</v>
      </c>
      <c r="C8" s="7">
        <f>'Fane 2.2. Økonomisk ramme 2022'!C16</f>
        <v>189984496.28529814</v>
      </c>
      <c r="D8" s="8" t="s">
        <v>3</v>
      </c>
      <c r="E8" s="1"/>
    </row>
    <row r="9" spans="1:5" ht="15" customHeight="1" x14ac:dyDescent="0.25">
      <c r="A9" s="1"/>
      <c r="B9" s="40" t="s">
        <v>32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0" t="s">
        <v>31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Nøgletal'!C13</f>
        <v>2317810.8546806374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29</v>
      </c>
      <c r="C13" s="9">
        <f>-'Fane 4.1. Gen. krav - drift'!G48</f>
        <v>-1325953.3376983381</v>
      </c>
      <c r="D13" s="8" t="s">
        <v>3</v>
      </c>
      <c r="E13" s="1"/>
    </row>
    <row r="14" spans="1:5" ht="15" customHeight="1" x14ac:dyDescent="0.25">
      <c r="A14" s="1"/>
      <c r="B14" s="41" t="s">
        <v>30</v>
      </c>
      <c r="C14" s="9">
        <f>-'Fane 4.2. Gen. krav - anlæg'!G47</f>
        <v>-3484243.9689334766</v>
      </c>
      <c r="D14" s="8" t="s">
        <v>3</v>
      </c>
      <c r="E14" s="1"/>
    </row>
    <row r="15" spans="1:5" x14ac:dyDescent="0.25">
      <c r="A15" s="1"/>
      <c r="B15" s="45" t="s">
        <v>22</v>
      </c>
      <c r="C15" s="10">
        <f>SUM(C8:C14)</f>
        <v>187492109.83334696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2" t="s">
        <v>13</v>
      </c>
      <c r="C17" s="10">
        <f>'Fane 6. Ikke-påvirkelige omk.'!C17*(1+'Fane 14. Nøgletal'!C13)^2+'Fane 6. Ikke-påvirkelige omk.'!C23+'Fane 6. Ikke-påvirkelige omk.'!C31</f>
        <v>8267763.4207233768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8" t="s">
        <v>111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2" t="s">
        <v>106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42" t="s">
        <v>107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8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132</v>
      </c>
      <c r="C24" s="38"/>
      <c r="D24" s="20"/>
      <c r="E24" s="1"/>
    </row>
    <row r="25" spans="1:5" ht="15" customHeight="1" x14ac:dyDescent="0.25">
      <c r="A25" s="1"/>
      <c r="B25" s="52" t="s">
        <v>249</v>
      </c>
      <c r="C25" s="10">
        <f>'Fane 7. Kontrol af ØR2019'!E35</f>
        <v>0</v>
      </c>
      <c r="D25" s="11" t="s">
        <v>3</v>
      </c>
      <c r="E25" s="1"/>
    </row>
    <row r="26" spans="1:5" x14ac:dyDescent="0.25">
      <c r="A26" s="1"/>
      <c r="B26" s="37" t="s">
        <v>121</v>
      </c>
      <c r="C26" s="12">
        <f>SUM(C15,C17,C19,C23,C25)</f>
        <v>195759873.25407034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R/pvQOUyS5vSln3JzPfWT9qTUIpQT3e8U+Qtk/oQPR/AcAf05i0c+y7MWRnShfbo6K9kUbETAEZpcsrATnF4QQ==" saltValue="9RObR4liWVSLbq6tnBeq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197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0" t="s">
        <v>198</v>
      </c>
      <c r="C8" s="7">
        <f>'Fane 2.3. Økonomisk ramme 2023'!C15</f>
        <v>187492109.83334696</v>
      </c>
      <c r="D8" s="8" t="s">
        <v>3</v>
      </c>
      <c r="E8" s="1"/>
    </row>
    <row r="9" spans="1:5" ht="15" customHeight="1" x14ac:dyDescent="0.25">
      <c r="A9" s="1"/>
      <c r="B9" s="40" t="s">
        <v>32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0" t="s">
        <v>31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Nøgletal'!C13</f>
        <v>2287403.739966833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29</v>
      </c>
      <c r="C13" s="9">
        <f>-'Fane 4.1. Gen. krav - drift'!G55</f>
        <v>-1315287.3690498925</v>
      </c>
      <c r="D13" s="8" t="s">
        <v>3</v>
      </c>
      <c r="E13" s="1"/>
    </row>
    <row r="14" spans="1:5" ht="15" customHeight="1" x14ac:dyDescent="0.25">
      <c r="A14" s="1"/>
      <c r="B14" s="41" t="s">
        <v>30</v>
      </c>
      <c r="C14" s="9">
        <f>-'Fane 4.2. Gen. krav - anlæg'!G54</f>
        <v>-3429766.0723572173</v>
      </c>
      <c r="D14" s="8" t="s">
        <v>3</v>
      </c>
      <c r="E14" s="1"/>
    </row>
    <row r="15" spans="1:5" x14ac:dyDescent="0.25">
      <c r="A15" s="1"/>
      <c r="B15" s="45" t="s">
        <v>22</v>
      </c>
      <c r="C15" s="10">
        <f>SUM(C8:C14)</f>
        <v>185034460.13190669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2" t="s">
        <v>13</v>
      </c>
      <c r="C17" s="10">
        <f>'Fane 6. Ikke-påvirkelige omk.'!C17*(1+'Fane 14. Nøgletal'!C13)^3+'Fane 6. Ikke-påvirkelige omk.'!C24+'Fane 6. Ikke-påvirkelige omk.'!C32</f>
        <v>8349908.6642562021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8" t="s">
        <v>111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2" t="s">
        <v>106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42" t="s">
        <v>107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8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199</v>
      </c>
      <c r="C24" s="12">
        <f>SUM(C15,C17,C19,C23)</f>
        <v>193384368.7961629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NixR4kwtBAoCgPFsu4eSB9belfuD+hHsfgPXwJyzyM08VjZ2fXB/lG87h9eUY5OZodIHdq/V8xgWu1lc0zWDFg==" saltValue="EpnE6+s7gh/kEya9H/iD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200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201</v>
      </c>
      <c r="C8" s="38"/>
      <c r="D8" s="38"/>
      <c r="E8" s="38"/>
      <c r="F8" s="20"/>
      <c r="G8" s="1"/>
    </row>
    <row r="9" spans="1:7" x14ac:dyDescent="0.25">
      <c r="A9" s="1"/>
      <c r="B9" s="93" t="s">
        <v>25</v>
      </c>
      <c r="C9" s="94"/>
      <c r="D9" s="95"/>
      <c r="E9" s="7">
        <v>187282805.80048108</v>
      </c>
      <c r="F9" s="8" t="s">
        <v>3</v>
      </c>
      <c r="G9" s="1"/>
    </row>
    <row r="10" spans="1:7" x14ac:dyDescent="0.25">
      <c r="A10" s="1"/>
      <c r="B10" s="89" t="s">
        <v>233</v>
      </c>
      <c r="C10" s="90"/>
      <c r="D10" s="91"/>
      <c r="E10" s="7">
        <v>0</v>
      </c>
      <c r="F10" s="8" t="s">
        <v>3</v>
      </c>
      <c r="G10" s="1"/>
    </row>
    <row r="11" spans="1:7" x14ac:dyDescent="0.25">
      <c r="A11" s="1"/>
      <c r="B11" s="89" t="s">
        <v>234</v>
      </c>
      <c r="C11" s="90"/>
      <c r="D11" s="91"/>
      <c r="E11" s="7">
        <v>791029.45384841692</v>
      </c>
      <c r="F11" s="8" t="s">
        <v>3</v>
      </c>
      <c r="G11" s="1"/>
    </row>
    <row r="12" spans="1:7" x14ac:dyDescent="0.25">
      <c r="A12" s="1"/>
      <c r="B12" s="80" t="s">
        <v>46</v>
      </c>
      <c r="C12" s="81"/>
      <c r="D12" s="82"/>
      <c r="E12" s="7">
        <v>1094583.7089</v>
      </c>
      <c r="F12" s="8" t="s">
        <v>3</v>
      </c>
      <c r="G12" s="1"/>
    </row>
    <row r="13" spans="1:7" x14ac:dyDescent="0.25">
      <c r="A13" s="1"/>
      <c r="B13" s="80" t="s">
        <v>47</v>
      </c>
      <c r="C13" s="81"/>
      <c r="D13" s="82"/>
      <c r="E13" s="9">
        <v>1643671.8247224002</v>
      </c>
      <c r="F13" s="8" t="s">
        <v>3</v>
      </c>
      <c r="G13" s="1"/>
    </row>
    <row r="14" spans="1:7" x14ac:dyDescent="0.25">
      <c r="A14" s="1"/>
      <c r="B14" s="80" t="s">
        <v>32</v>
      </c>
      <c r="C14" s="81"/>
      <c r="D14" s="82"/>
      <c r="E14" s="9">
        <v>0</v>
      </c>
      <c r="F14" s="8" t="s">
        <v>3</v>
      </c>
      <c r="G14" s="1"/>
    </row>
    <row r="15" spans="1:7" x14ac:dyDescent="0.25">
      <c r="A15" s="1"/>
      <c r="B15" s="80" t="s">
        <v>31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0" t="s">
        <v>193</v>
      </c>
      <c r="C16" s="81"/>
      <c r="D16" s="82"/>
      <c r="E16" s="9">
        <v>0</v>
      </c>
      <c r="F16" s="8" t="s">
        <v>3</v>
      </c>
      <c r="G16" s="1"/>
    </row>
    <row r="17" spans="1:7" x14ac:dyDescent="0.25">
      <c r="A17" s="1"/>
      <c r="B17" s="80" t="s">
        <v>194</v>
      </c>
      <c r="C17" s="81"/>
      <c r="D17" s="82"/>
      <c r="E17" s="9">
        <v>0</v>
      </c>
      <c r="F17" s="8" t="s">
        <v>3</v>
      </c>
      <c r="G17" s="1"/>
    </row>
    <row r="18" spans="1:7" x14ac:dyDescent="0.25">
      <c r="A18" s="1"/>
      <c r="B18" s="80" t="s">
        <v>20</v>
      </c>
      <c r="C18" s="81"/>
      <c r="D18" s="82"/>
      <c r="E18" s="9">
        <f>(E9-SUM(E10:E11))*'Fane 14. Nøgletal'!C10+SUM(E10:E11)*'Fane 14. Nøgletal'!C11+SUM(E12:E17)*'Fane 14. Nøgletal'!C12</f>
        <v>3330918.1178484713</v>
      </c>
      <c r="F18" s="8" t="s">
        <v>3</v>
      </c>
      <c r="G18" s="1"/>
    </row>
    <row r="19" spans="1:7" x14ac:dyDescent="0.25">
      <c r="A19" s="1"/>
      <c r="B19" s="80" t="s">
        <v>10</v>
      </c>
      <c r="C19" s="81"/>
      <c r="D19" s="82"/>
      <c r="E19" s="9">
        <f>-(E9+SUM(E12:E18))*'Fane 5. Individuelt eff. krav'!G10</f>
        <v>0</v>
      </c>
      <c r="F19" s="8" t="s">
        <v>3</v>
      </c>
      <c r="G19" s="1"/>
    </row>
    <row r="20" spans="1:7" x14ac:dyDescent="0.25">
      <c r="A20" s="1"/>
      <c r="B20" s="80" t="s">
        <v>29</v>
      </c>
      <c r="C20" s="81"/>
      <c r="D20" s="82"/>
      <c r="E20" s="9">
        <f>-'Fane 4.1. Gen. krav - drift'!G28</f>
        <v>-1334960.3274974416</v>
      </c>
      <c r="F20" s="8" t="s">
        <v>3</v>
      </c>
      <c r="G20" s="1"/>
    </row>
    <row r="21" spans="1:7" x14ac:dyDescent="0.25">
      <c r="A21" s="1"/>
      <c r="B21" s="80" t="s">
        <v>30</v>
      </c>
      <c r="C21" s="81"/>
      <c r="D21" s="82"/>
      <c r="E21" s="9">
        <f>-'Fane 4.2. Gen. krav - anlæg'!G27</f>
        <v>-2263386.952283151</v>
      </c>
      <c r="F21" s="8" t="s">
        <v>3</v>
      </c>
      <c r="G21" s="1"/>
    </row>
    <row r="22" spans="1:7" x14ac:dyDescent="0.25">
      <c r="A22" s="1"/>
      <c r="B22" s="83" t="s">
        <v>22</v>
      </c>
      <c r="C22" s="84"/>
      <c r="D22" s="85"/>
      <c r="E22" s="10">
        <f>SUM(E9,E12:E21)</f>
        <v>189753632.17217138</v>
      </c>
      <c r="F22" s="11" t="s">
        <v>3</v>
      </c>
      <c r="G22" s="1"/>
    </row>
    <row r="23" spans="1:7" x14ac:dyDescent="0.25">
      <c r="A23" s="1"/>
      <c r="B23" s="37" t="s">
        <v>13</v>
      </c>
      <c r="C23" s="38"/>
      <c r="D23" s="38"/>
      <c r="E23" s="38"/>
      <c r="F23" s="20"/>
      <c r="G23" s="1"/>
    </row>
    <row r="24" spans="1:7" ht="14.25" customHeight="1" x14ac:dyDescent="0.25">
      <c r="A24" s="1"/>
      <c r="B24" s="77" t="s">
        <v>13</v>
      </c>
      <c r="C24" s="78"/>
      <c r="D24" s="79"/>
      <c r="E24" s="10">
        <v>15865573.94922613</v>
      </c>
      <c r="F24" s="10" t="s">
        <v>3</v>
      </c>
      <c r="G24" s="1"/>
    </row>
    <row r="25" spans="1:7" ht="14.25" customHeight="1" x14ac:dyDescent="0.25">
      <c r="A25" s="1"/>
      <c r="B25" s="37" t="s">
        <v>111</v>
      </c>
      <c r="C25" s="37"/>
      <c r="D25" s="37"/>
      <c r="E25" s="38"/>
      <c r="F25" s="38"/>
      <c r="G25" s="1"/>
    </row>
    <row r="26" spans="1:7" x14ac:dyDescent="0.25">
      <c r="A26" s="1"/>
      <c r="B26" s="86" t="s">
        <v>111</v>
      </c>
      <c r="C26" s="87"/>
      <c r="D26" s="88"/>
      <c r="E26" s="10">
        <v>0</v>
      </c>
      <c r="F26" s="10" t="s">
        <v>3</v>
      </c>
      <c r="G26" s="1"/>
    </row>
    <row r="27" spans="1:7" x14ac:dyDescent="0.25">
      <c r="A27" s="1"/>
      <c r="B27" s="37" t="s">
        <v>110</v>
      </c>
      <c r="C27" s="37"/>
      <c r="D27" s="37"/>
      <c r="E27" s="38"/>
      <c r="F27" s="38"/>
      <c r="G27" s="1"/>
    </row>
    <row r="28" spans="1:7" ht="15.4" customHeight="1" x14ac:dyDescent="0.25">
      <c r="A28" s="1"/>
      <c r="B28" s="89" t="s">
        <v>106</v>
      </c>
      <c r="C28" s="90"/>
      <c r="D28" s="91"/>
      <c r="E28" s="34">
        <v>0</v>
      </c>
      <c r="F28" s="8" t="s">
        <v>3</v>
      </c>
      <c r="G28" s="1"/>
    </row>
    <row r="29" spans="1:7" ht="15.75" customHeight="1" x14ac:dyDescent="0.25">
      <c r="A29" s="1"/>
      <c r="B29" s="89" t="s">
        <v>107</v>
      </c>
      <c r="C29" s="90"/>
      <c r="D29" s="91"/>
      <c r="E29" s="34">
        <v>0</v>
      </c>
      <c r="F29" s="8" t="s">
        <v>3</v>
      </c>
      <c r="G29" s="1"/>
    </row>
    <row r="30" spans="1:7" x14ac:dyDescent="0.25">
      <c r="A30" s="1"/>
      <c r="B30" s="48" t="s">
        <v>112</v>
      </c>
      <c r="C30" s="46"/>
      <c r="D30" s="47"/>
      <c r="E30" s="10">
        <v>0</v>
      </c>
      <c r="F30" s="11" t="s">
        <v>3</v>
      </c>
      <c r="G30" s="1"/>
    </row>
    <row r="31" spans="1:7" x14ac:dyDescent="0.25">
      <c r="A31" s="1"/>
      <c r="B31" s="37" t="s">
        <v>266</v>
      </c>
      <c r="C31" s="38"/>
      <c r="D31" s="38"/>
      <c r="E31" s="38"/>
      <c r="F31" s="20"/>
      <c r="G31" s="1"/>
    </row>
    <row r="32" spans="1:7" ht="14.25" customHeight="1" x14ac:dyDescent="0.25">
      <c r="A32" s="1"/>
      <c r="B32" s="77" t="s">
        <v>267</v>
      </c>
      <c r="C32" s="78"/>
      <c r="D32" s="79"/>
      <c r="E32" s="10">
        <v>0</v>
      </c>
      <c r="F32" s="11" t="s">
        <v>3</v>
      </c>
      <c r="G32" s="1"/>
    </row>
    <row r="33" spans="1:7" x14ac:dyDescent="0.25">
      <c r="A33" s="1"/>
      <c r="B33" s="37" t="s">
        <v>268</v>
      </c>
      <c r="C33" s="38"/>
      <c r="D33" s="38"/>
      <c r="E33" s="38"/>
      <c r="F33" s="20"/>
      <c r="G33" s="1"/>
    </row>
    <row r="34" spans="1:7" ht="15" customHeight="1" x14ac:dyDescent="0.25">
      <c r="A34" s="1"/>
      <c r="B34" s="77" t="s">
        <v>269</v>
      </c>
      <c r="C34" s="78"/>
      <c r="D34" s="79"/>
      <c r="E34" s="10">
        <v>219700</v>
      </c>
      <c r="F34" s="11" t="s">
        <v>3</v>
      </c>
      <c r="G34" s="1"/>
    </row>
    <row r="35" spans="1:7" x14ac:dyDescent="0.25">
      <c r="A35" s="1"/>
      <c r="B35" s="37" t="s">
        <v>26</v>
      </c>
      <c r="C35" s="38"/>
      <c r="D35" s="38"/>
      <c r="E35" s="12">
        <f>E22+E24+E26+E30+E32+E34</f>
        <v>205838906.12139753</v>
      </c>
      <c r="F35" s="13" t="s">
        <v>3</v>
      </c>
      <c r="G35" s="1"/>
    </row>
    <row r="36" spans="1:7" ht="26.85" customHeight="1" x14ac:dyDescent="0.25">
      <c r="A36" s="1"/>
      <c r="B36" s="74" t="s">
        <v>202</v>
      </c>
      <c r="C36" s="75"/>
      <c r="D36" s="75"/>
      <c r="E36" s="75"/>
      <c r="F36" s="7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NiaMJPnHGJM0qETp0v3fed90Y3FgaC00uhNgFZ3E8R3k7jzmsCDmyrVD6ZSrgqoAVce22EPsZ91fvW3ReYV85w==" saltValue="8WbEheoMfDc76Ric8mnYGg==" spinCount="100000" sheet="1" objects="1" scenarios="1"/>
  <mergeCells count="22">
    <mergeCell ref="B3:F4"/>
    <mergeCell ref="B9:D9"/>
    <mergeCell ref="B12:D12"/>
    <mergeCell ref="B13:D13"/>
    <mergeCell ref="B14:D14"/>
    <mergeCell ref="B10:D10"/>
    <mergeCell ref="B11:D11"/>
    <mergeCell ref="B36:F36"/>
    <mergeCell ref="B34:D34"/>
    <mergeCell ref="B15:D15"/>
    <mergeCell ref="B16:D16"/>
    <mergeCell ref="B17:D17"/>
    <mergeCell ref="B32:D32"/>
    <mergeCell ref="B18:D18"/>
    <mergeCell ref="B19:D19"/>
    <mergeCell ref="B20:D20"/>
    <mergeCell ref="B24:D24"/>
    <mergeCell ref="B21:D21"/>
    <mergeCell ref="B22:D22"/>
    <mergeCell ref="B26:D26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2" t="s">
        <v>167</v>
      </c>
      <c r="C1" s="92"/>
      <c r="D1" s="92"/>
      <c r="E1" s="92"/>
      <c r="F1" s="92"/>
      <c r="G1" s="92"/>
      <c r="H1" s="92"/>
      <c r="I1" s="1"/>
    </row>
    <row r="2" spans="1:9" ht="15" customHeight="1" x14ac:dyDescent="0.25">
      <c r="A2" s="1"/>
      <c r="B2" s="92"/>
      <c r="C2" s="92"/>
      <c r="D2" s="92"/>
      <c r="E2" s="92"/>
      <c r="F2" s="92"/>
      <c r="G2" s="92"/>
      <c r="H2" s="92"/>
      <c r="I2" s="1"/>
    </row>
    <row r="3" spans="1:9" ht="15" customHeight="1" x14ac:dyDescent="0.25">
      <c r="A3" s="1"/>
      <c r="B3" s="92"/>
      <c r="C3" s="92"/>
      <c r="D3" s="92"/>
      <c r="E3" s="92"/>
      <c r="F3" s="92"/>
      <c r="G3" s="92"/>
      <c r="H3" s="92"/>
      <c r="I3" s="1"/>
    </row>
    <row r="4" spans="1:9" x14ac:dyDescent="0.25">
      <c r="A4" s="1"/>
      <c r="B4" s="102" t="s">
        <v>66</v>
      </c>
      <c r="C4" s="103"/>
      <c r="D4" s="103"/>
      <c r="E4" s="103"/>
      <c r="F4" s="103"/>
      <c r="G4" s="103"/>
      <c r="H4" s="104"/>
      <c r="I4" s="1"/>
    </row>
    <row r="5" spans="1:9" x14ac:dyDescent="0.25">
      <c r="A5" s="1"/>
      <c r="B5" s="99" t="s">
        <v>55</v>
      </c>
      <c r="C5" s="100"/>
      <c r="D5" s="100"/>
      <c r="E5" s="100"/>
      <c r="F5" s="101"/>
      <c r="G5" s="24">
        <v>65863295.141847663</v>
      </c>
      <c r="H5" s="14" t="s">
        <v>3</v>
      </c>
      <c r="I5" s="1"/>
    </row>
    <row r="6" spans="1:9" x14ac:dyDescent="0.25">
      <c r="A6" s="1"/>
      <c r="B6" s="74" t="s">
        <v>183</v>
      </c>
      <c r="C6" s="75"/>
      <c r="D6" s="75"/>
      <c r="E6" s="75"/>
      <c r="F6" s="76"/>
      <c r="G6" s="24">
        <v>0</v>
      </c>
      <c r="H6" s="14" t="s">
        <v>3</v>
      </c>
      <c r="I6" s="1"/>
    </row>
    <row r="7" spans="1:9" x14ac:dyDescent="0.25">
      <c r="A7" s="1"/>
      <c r="B7" s="99" t="s">
        <v>56</v>
      </c>
      <c r="C7" s="100"/>
      <c r="D7" s="100"/>
      <c r="E7" s="100"/>
      <c r="F7" s="101"/>
      <c r="G7" s="24">
        <f>SUM(G5:G6)*'Fane 14. Nøgletal'!C27</f>
        <v>1317265.9028369533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2" t="s">
        <v>67</v>
      </c>
      <c r="C10" s="103"/>
      <c r="D10" s="103"/>
      <c r="E10" s="103"/>
      <c r="F10" s="103"/>
      <c r="G10" s="103"/>
      <c r="H10" s="104"/>
      <c r="I10" s="1"/>
    </row>
    <row r="11" spans="1:9" x14ac:dyDescent="0.25">
      <c r="A11" s="1"/>
      <c r="B11" s="99" t="s">
        <v>57</v>
      </c>
      <c r="C11" s="100"/>
      <c r="D11" s="100"/>
      <c r="E11" s="100"/>
      <c r="F11" s="101"/>
      <c r="G11" s="24">
        <f>(G5-G7)*(1+'Fane 14. Nøgletal'!C10)</f>
        <v>65675584.750693396</v>
      </c>
      <c r="H11" s="14" t="s">
        <v>3</v>
      </c>
      <c r="I11" s="1"/>
    </row>
    <row r="12" spans="1:9" x14ac:dyDescent="0.25">
      <c r="A12" s="1"/>
      <c r="B12" s="99" t="s">
        <v>185</v>
      </c>
      <c r="C12" s="100"/>
      <c r="D12" s="100"/>
      <c r="E12" s="100"/>
      <c r="F12" s="101"/>
      <c r="G12" s="24">
        <v>0</v>
      </c>
      <c r="H12" s="14" t="s">
        <v>3</v>
      </c>
      <c r="I12" s="1"/>
    </row>
    <row r="13" spans="1:9" x14ac:dyDescent="0.25">
      <c r="A13" s="1"/>
      <c r="B13" s="74" t="s">
        <v>182</v>
      </c>
      <c r="C13" s="75"/>
      <c r="D13" s="75"/>
      <c r="E13" s="75"/>
      <c r="F13" s="76"/>
      <c r="G13" s="24">
        <v>0</v>
      </c>
      <c r="H13" s="14" t="s">
        <v>3</v>
      </c>
      <c r="I13" s="1"/>
    </row>
    <row r="14" spans="1:9" x14ac:dyDescent="0.25">
      <c r="A14" s="1"/>
      <c r="B14" s="96" t="s">
        <v>58</v>
      </c>
      <c r="C14" s="97"/>
      <c r="D14" s="97"/>
      <c r="E14" s="97"/>
      <c r="F14" s="98"/>
      <c r="G14" s="24">
        <v>331991.65518750006</v>
      </c>
      <c r="H14" s="14" t="s">
        <v>3</v>
      </c>
      <c r="I14" s="1"/>
    </row>
    <row r="15" spans="1:9" x14ac:dyDescent="0.25">
      <c r="A15" s="1"/>
      <c r="B15" s="99" t="s">
        <v>59</v>
      </c>
      <c r="C15" s="100"/>
      <c r="D15" s="100"/>
      <c r="E15" s="100"/>
      <c r="F15" s="101"/>
      <c r="G15" s="24">
        <f>SUM(G11:G14)*'Fane 14. Nøgletal'!C27</f>
        <v>1320151.5281176181</v>
      </c>
      <c r="H15" s="14" t="s">
        <v>3</v>
      </c>
      <c r="I15" s="1"/>
    </row>
    <row r="16" spans="1:9" x14ac:dyDescent="0.25">
      <c r="A16" s="1"/>
      <c r="B16" s="37"/>
      <c r="C16" s="38"/>
      <c r="D16" s="38"/>
      <c r="E16" s="38"/>
      <c r="F16" s="38"/>
      <c r="G16" s="38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02" t="s">
        <v>68</v>
      </c>
      <c r="C18" s="103"/>
      <c r="D18" s="103"/>
      <c r="E18" s="103"/>
      <c r="F18" s="103"/>
      <c r="G18" s="103"/>
      <c r="H18" s="104"/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(G11+G12+G14-G15)*(1+'Fane 14. Nøgletal'!C10)</f>
        <v>65819454.813124143</v>
      </c>
      <c r="H19" s="14" t="s">
        <v>3</v>
      </c>
      <c r="I19" s="1"/>
    </row>
    <row r="20" spans="1:9" x14ac:dyDescent="0.25">
      <c r="A20" s="1"/>
      <c r="B20" s="96" t="s">
        <v>61</v>
      </c>
      <c r="C20" s="97"/>
      <c r="D20" s="97"/>
      <c r="E20" s="97"/>
      <c r="F20" s="98"/>
      <c r="G20" s="24">
        <v>0</v>
      </c>
      <c r="H20" s="14" t="s">
        <v>3</v>
      </c>
      <c r="I20" s="1"/>
    </row>
    <row r="21" spans="1:9" x14ac:dyDescent="0.25">
      <c r="A21" s="1"/>
      <c r="B21" s="99" t="s">
        <v>62</v>
      </c>
      <c r="C21" s="100"/>
      <c r="D21" s="100"/>
      <c r="E21" s="100"/>
      <c r="F21" s="101"/>
      <c r="G21" s="24">
        <f>(G19+G20)*'Fane 14. Nøgletal'!C27</f>
        <v>1316389.0962624829</v>
      </c>
      <c r="H21" s="14" t="s">
        <v>3</v>
      </c>
      <c r="I21" s="1"/>
    </row>
    <row r="22" spans="1:9" x14ac:dyDescent="0.25">
      <c r="A22" s="1"/>
      <c r="B22" s="37"/>
      <c r="C22" s="38"/>
      <c r="D22" s="38"/>
      <c r="E22" s="38"/>
      <c r="F22" s="38"/>
      <c r="G22" s="38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02" t="s">
        <v>69</v>
      </c>
      <c r="C24" s="103"/>
      <c r="D24" s="103"/>
      <c r="E24" s="103"/>
      <c r="F24" s="103"/>
      <c r="G24" s="103"/>
      <c r="H24" s="104"/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G19*(1-'Fane 14. Nøgletal'!C27)*(1+'Fane 14. Nøgletal'!C10)+G20*(1-'Fane 14. Nøgletal'!C27)*(1+'Fane 14. Nøgletal'!C11)</f>
        <v>65631869.36690674</v>
      </c>
      <c r="H25" s="14" t="s">
        <v>3</v>
      </c>
      <c r="I25" s="1"/>
    </row>
    <row r="26" spans="1:9" x14ac:dyDescent="0.25">
      <c r="A26" s="1"/>
      <c r="B26" s="105" t="s">
        <v>180</v>
      </c>
      <c r="C26" s="106"/>
      <c r="D26" s="106"/>
      <c r="E26" s="106"/>
      <c r="F26" s="107"/>
      <c r="G26" s="24">
        <f>G20*(1-'Fane 14. Nøgletal'!C27)*(1+'Fane 14. Nøgletal'!C11)</f>
        <v>0</v>
      </c>
      <c r="H26" s="14" t="s">
        <v>3</v>
      </c>
      <c r="I26" s="1"/>
    </row>
    <row r="27" spans="1:9" x14ac:dyDescent="0.25">
      <c r="A27" s="1"/>
      <c r="B27" s="96" t="s">
        <v>64</v>
      </c>
      <c r="C27" s="97"/>
      <c r="D27" s="97"/>
      <c r="E27" s="97"/>
      <c r="F27" s="98"/>
      <c r="G27" s="24">
        <v>1116147.00796533</v>
      </c>
      <c r="H27" s="14" t="s">
        <v>3</v>
      </c>
      <c r="I27" s="1"/>
    </row>
    <row r="28" spans="1:9" x14ac:dyDescent="0.25">
      <c r="A28" s="1"/>
      <c r="B28" s="99" t="s">
        <v>65</v>
      </c>
      <c r="C28" s="100"/>
      <c r="D28" s="100"/>
      <c r="E28" s="100"/>
      <c r="F28" s="101"/>
      <c r="G28" s="24">
        <f>SUM(G25,G27)*'Fane 14. Nøgletal'!C27</f>
        <v>1334960.3274974416</v>
      </c>
      <c r="H28" s="14" t="s">
        <v>3</v>
      </c>
      <c r="I28" s="1"/>
    </row>
    <row r="29" spans="1:9" x14ac:dyDescent="0.25">
      <c r="A29" s="1"/>
      <c r="B29" s="37"/>
      <c r="C29" s="38"/>
      <c r="D29" s="38"/>
      <c r="E29" s="38"/>
      <c r="F29" s="38"/>
      <c r="G29" s="38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02" t="s">
        <v>72</v>
      </c>
      <c r="C31" s="103"/>
      <c r="D31" s="103"/>
      <c r="E31" s="103"/>
      <c r="F31" s="103"/>
      <c r="G31" s="103"/>
      <c r="H31" s="104"/>
      <c r="I31" s="1"/>
    </row>
    <row r="32" spans="1:9" x14ac:dyDescent="0.25">
      <c r="A32" s="1"/>
      <c r="B32" s="99" t="s">
        <v>73</v>
      </c>
      <c r="C32" s="100"/>
      <c r="D32" s="100"/>
      <c r="E32" s="100"/>
      <c r="F32" s="101"/>
      <c r="G32" s="24">
        <f>(G25-G26)*(1-'Fane 14. Nøgletal'!C27)*(1+'Fane 14. Nøgletal'!C10)+G26*(1-'Fane 14. Nøgletal'!C27)*(1+'Fane 14. Nøgletal'!C11)+G27*(1-'Fane 14. Nøgletal'!C27)*(1+'Fane 14. Nøgletal'!C12)</f>
        <v>66560190.941152856</v>
      </c>
      <c r="H32" s="14" t="s">
        <v>3</v>
      </c>
      <c r="I32" s="1"/>
    </row>
    <row r="33" spans="1:9" x14ac:dyDescent="0.25">
      <c r="A33" s="1"/>
      <c r="B33" s="105" t="s">
        <v>180</v>
      </c>
      <c r="C33" s="97"/>
      <c r="D33" s="97"/>
      <c r="E33" s="97"/>
      <c r="F33" s="98"/>
      <c r="G33" s="24">
        <f>G26*(1-'Fane 14. Nøgletal'!C27)*(1+'Fane 14. Nøgletal'!C11)</f>
        <v>0</v>
      </c>
      <c r="H33" s="14" t="s">
        <v>3</v>
      </c>
      <c r="I33" s="1"/>
    </row>
    <row r="34" spans="1:9" x14ac:dyDescent="0.25">
      <c r="A34" s="1"/>
      <c r="B34" s="105" t="s">
        <v>181</v>
      </c>
      <c r="C34" s="97"/>
      <c r="D34" s="97"/>
      <c r="E34" s="97"/>
      <c r="F34" s="98"/>
      <c r="G34" s="24">
        <f>G27*(1-'Fane 14. Nøgletal'!C27)*(1+'Fane 14. Nøgletal'!C12)</f>
        <v>1115372.4019418021</v>
      </c>
      <c r="H34" s="14" t="s">
        <v>3</v>
      </c>
      <c r="I34" s="1"/>
    </row>
    <row r="35" spans="1:9" x14ac:dyDescent="0.25">
      <c r="A35" s="1"/>
      <c r="B35" s="99" t="s">
        <v>239</v>
      </c>
      <c r="C35" s="100"/>
      <c r="D35" s="100"/>
      <c r="E35" s="100"/>
      <c r="F35" s="101"/>
      <c r="G35" s="24">
        <f>SUM('Fane 2.1. Økonomisk ramme 2021'!C14,'Fane 2.1. Økonomisk ramme 2021'!C16,'Fane 2.1. Økonomisk ramme 2021'!C18)*(1+'Fane 14. Nøgletal'!C13)</f>
        <v>817081.79809535993</v>
      </c>
      <c r="H35" s="14" t="s">
        <v>3</v>
      </c>
      <c r="I35" s="1"/>
    </row>
    <row r="36" spans="1:9" x14ac:dyDescent="0.25">
      <c r="A36" s="1"/>
      <c r="B36" s="99" t="s">
        <v>74</v>
      </c>
      <c r="C36" s="100"/>
      <c r="D36" s="100"/>
      <c r="E36" s="100"/>
      <c r="F36" s="101"/>
      <c r="G36" s="24">
        <f>SUM(G32,G35)*'Fane 14. Nøgletal'!C27</f>
        <v>1347545.4547849644</v>
      </c>
      <c r="H36" s="14" t="s">
        <v>3</v>
      </c>
      <c r="I36" s="1"/>
    </row>
    <row r="37" spans="1:9" x14ac:dyDescent="0.25">
      <c r="A37" s="1"/>
      <c r="B37" s="37"/>
      <c r="C37" s="38"/>
      <c r="D37" s="38"/>
      <c r="E37" s="38"/>
      <c r="F37" s="38"/>
      <c r="G37" s="38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02" t="s">
        <v>99</v>
      </c>
      <c r="C39" s="103"/>
      <c r="D39" s="103"/>
      <c r="E39" s="103"/>
      <c r="F39" s="103"/>
      <c r="G39" s="103"/>
      <c r="H39" s="104"/>
      <c r="I39" s="1"/>
    </row>
    <row r="40" spans="1:9" x14ac:dyDescent="0.25">
      <c r="A40" s="1"/>
      <c r="B40" s="99" t="s">
        <v>98</v>
      </c>
      <c r="C40" s="100"/>
      <c r="D40" s="100"/>
      <c r="E40" s="100"/>
      <c r="F40" s="101"/>
      <c r="G40" s="24">
        <f>(SUM(G32,G35)-G36)*(1+'Fane 14. Nøgletal'!C13)</f>
        <v>66835289.957333699</v>
      </c>
      <c r="H40" s="14" t="s">
        <v>3</v>
      </c>
      <c r="I40" s="1"/>
    </row>
    <row r="41" spans="1:9" x14ac:dyDescent="0.25">
      <c r="A41" s="1"/>
      <c r="B41" s="99" t="s">
        <v>114</v>
      </c>
      <c r="C41" s="100"/>
      <c r="D41" s="100"/>
      <c r="E41" s="100"/>
      <c r="F41" s="101"/>
      <c r="G41" s="24">
        <f>-'Fane 13. Bortfald'!C18*(1+'Fane 14. Nøgletal'!C13)</f>
        <v>0</v>
      </c>
      <c r="H41" s="14" t="s">
        <v>3</v>
      </c>
      <c r="I41" s="1"/>
    </row>
    <row r="42" spans="1:9" x14ac:dyDescent="0.25">
      <c r="A42" s="1"/>
      <c r="B42" s="99" t="s">
        <v>75</v>
      </c>
      <c r="C42" s="100"/>
      <c r="D42" s="100"/>
      <c r="E42" s="100"/>
      <c r="F42" s="101"/>
      <c r="G42" s="24">
        <f>(G40+G41)*'Fane 14. Nøgletal'!C27</f>
        <v>1336705.7991466741</v>
      </c>
      <c r="H42" s="14" t="s">
        <v>3</v>
      </c>
      <c r="I42" s="1"/>
    </row>
    <row r="43" spans="1:9" x14ac:dyDescent="0.25">
      <c r="A43" s="1"/>
      <c r="B43" s="37"/>
      <c r="C43" s="38"/>
      <c r="D43" s="38"/>
      <c r="E43" s="38"/>
      <c r="F43" s="38"/>
      <c r="G43" s="38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02" t="s">
        <v>100</v>
      </c>
      <c r="C45" s="103"/>
      <c r="D45" s="103"/>
      <c r="E45" s="103"/>
      <c r="F45" s="103"/>
      <c r="G45" s="103"/>
      <c r="H45" s="104"/>
      <c r="I45" s="1"/>
    </row>
    <row r="46" spans="1:9" x14ac:dyDescent="0.25">
      <c r="A46" s="1"/>
      <c r="B46" s="99" t="s">
        <v>97</v>
      </c>
      <c r="C46" s="100"/>
      <c r="D46" s="100"/>
      <c r="E46" s="100"/>
      <c r="F46" s="101"/>
      <c r="G46" s="24">
        <f>(G40+G41-G42)*(1+'Fane 14. Nøgletal'!C13)</f>
        <v>66297666.884916902</v>
      </c>
      <c r="H46" s="14" t="s">
        <v>3</v>
      </c>
      <c r="I46" s="1"/>
    </row>
    <row r="47" spans="1:9" x14ac:dyDescent="0.25">
      <c r="A47" s="1"/>
      <c r="B47" s="99" t="s">
        <v>115</v>
      </c>
      <c r="C47" s="100"/>
      <c r="D47" s="100"/>
      <c r="E47" s="100"/>
      <c r="F47" s="101"/>
      <c r="G47" s="24">
        <f>-'Fane 13. Bortfald'!C24*(1+'Fane 14. Nøgletal'!C13)</f>
        <v>0</v>
      </c>
      <c r="H47" s="14" t="s">
        <v>3</v>
      </c>
      <c r="I47" s="1"/>
    </row>
    <row r="48" spans="1:9" x14ac:dyDescent="0.25">
      <c r="A48" s="1"/>
      <c r="B48" s="99" t="s">
        <v>76</v>
      </c>
      <c r="C48" s="100"/>
      <c r="D48" s="100"/>
      <c r="E48" s="100"/>
      <c r="F48" s="101"/>
      <c r="G48" s="24">
        <f>(G46+G47)*'Fane 14. Nøgletal'!C27</f>
        <v>1325953.3376983381</v>
      </c>
      <c r="H48" s="14" t="s">
        <v>3</v>
      </c>
      <c r="I48" s="1"/>
    </row>
    <row r="49" spans="1:9" x14ac:dyDescent="0.25">
      <c r="A49" s="1"/>
      <c r="B49" s="37"/>
      <c r="C49" s="38"/>
      <c r="D49" s="38"/>
      <c r="E49" s="38"/>
      <c r="F49" s="38"/>
      <c r="G49" s="38"/>
      <c r="H49" s="20"/>
      <c r="I49" s="1"/>
    </row>
    <row r="50" spans="1:9" x14ac:dyDescent="0.25">
      <c r="A50" s="1"/>
      <c r="B50" s="35"/>
      <c r="C50" s="35"/>
      <c r="D50" s="35"/>
      <c r="E50" s="35"/>
      <c r="F50" s="35"/>
      <c r="G50" s="35"/>
      <c r="H50" s="35"/>
      <c r="I50" s="1"/>
    </row>
    <row r="51" spans="1:9" x14ac:dyDescent="0.2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25">
      <c r="A52" s="1"/>
      <c r="B52" s="102" t="s">
        <v>240</v>
      </c>
      <c r="C52" s="103"/>
      <c r="D52" s="103"/>
      <c r="E52" s="103"/>
      <c r="F52" s="103"/>
      <c r="G52" s="103"/>
      <c r="H52" s="104"/>
      <c r="I52" s="1"/>
    </row>
    <row r="53" spans="1:9" x14ac:dyDescent="0.25">
      <c r="A53" s="1"/>
      <c r="B53" s="99" t="s">
        <v>241</v>
      </c>
      <c r="C53" s="100"/>
      <c r="D53" s="100"/>
      <c r="E53" s="100"/>
      <c r="F53" s="101"/>
      <c r="G53" s="24">
        <f>(G46+G47-G48)*(1+'Fane 14. Nøgletal'!C13)</f>
        <v>65764368.452494629</v>
      </c>
      <c r="H53" s="14" t="s">
        <v>3</v>
      </c>
      <c r="I53" s="1"/>
    </row>
    <row r="54" spans="1:9" x14ac:dyDescent="0.25">
      <c r="A54" s="1"/>
      <c r="B54" s="99" t="s">
        <v>242</v>
      </c>
      <c r="C54" s="100"/>
      <c r="D54" s="100"/>
      <c r="E54" s="100"/>
      <c r="F54" s="101"/>
      <c r="G54" s="24">
        <f>-'Fane 13. Bortfald'!C30*(1+'Fane 14. Nøgletal'!C13)</f>
        <v>0</v>
      </c>
      <c r="H54" s="14" t="s">
        <v>3</v>
      </c>
      <c r="I54" s="1"/>
    </row>
    <row r="55" spans="1:9" x14ac:dyDescent="0.25">
      <c r="A55" s="1"/>
      <c r="B55" s="99" t="s">
        <v>243</v>
      </c>
      <c r="C55" s="100"/>
      <c r="D55" s="100"/>
      <c r="E55" s="100"/>
      <c r="F55" s="101"/>
      <c r="G55" s="24">
        <f>(G53+G54)*'Fane 14. Nøgletal'!C27</f>
        <v>1315287.3690498925</v>
      </c>
      <c r="H55" s="14" t="s">
        <v>3</v>
      </c>
      <c r="I55" s="1"/>
    </row>
    <row r="56" spans="1:9" x14ac:dyDescent="0.25">
      <c r="A56" s="1"/>
      <c r="B56" s="37"/>
      <c r="C56" s="38"/>
      <c r="D56" s="38"/>
      <c r="E56" s="38"/>
      <c r="F56" s="38"/>
      <c r="G56" s="38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ZcZXz2zjYeaKPknYP+WZbWapeYbORMLRZZZ+CahHeC3YS8LCo5lVWcE/2viEQrilSZ6ynts1jCrWvJgn2kM47g==" saltValue="hzEfuFXqhKsP1i63Z7Mziw==" spinCount="100000" sheet="1" objects="1" scenarios="1"/>
  <mergeCells count="38">
    <mergeCell ref="B52:H52"/>
    <mergeCell ref="B53:F53"/>
    <mergeCell ref="B54:F54"/>
    <mergeCell ref="B55:F55"/>
    <mergeCell ref="B12:F12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3:F13"/>
    <mergeCell ref="B1:H3"/>
    <mergeCell ref="B4:H4"/>
    <mergeCell ref="B5:F5"/>
    <mergeCell ref="B7:F7"/>
    <mergeCell ref="B11:F11"/>
    <mergeCell ref="B10:H10"/>
    <mergeCell ref="B6:F6"/>
    <mergeCell ref="B35:F35"/>
    <mergeCell ref="B26:F26"/>
    <mergeCell ref="B33:F33"/>
    <mergeCell ref="B34:F34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2.140625" style="2" customWidth="1"/>
    <col min="7" max="7" width="11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08" t="s">
        <v>166</v>
      </c>
      <c r="C2" s="108"/>
      <c r="D2" s="108"/>
      <c r="E2" s="108"/>
      <c r="F2" s="108"/>
      <c r="G2" s="108"/>
      <c r="H2" s="108"/>
      <c r="I2" s="1"/>
    </row>
    <row r="3" spans="1:9" ht="28.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ht="18.75" x14ac:dyDescent="0.3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25">
      <c r="A5" s="1"/>
      <c r="B5" s="102" t="s">
        <v>70</v>
      </c>
      <c r="C5" s="103"/>
      <c r="D5" s="103"/>
      <c r="E5" s="103"/>
      <c r="F5" s="103"/>
      <c r="G5" s="103"/>
      <c r="H5" s="104"/>
      <c r="I5" s="1"/>
    </row>
    <row r="6" spans="1:9" x14ac:dyDescent="0.25">
      <c r="A6" s="1"/>
      <c r="B6" s="99" t="s">
        <v>77</v>
      </c>
      <c r="C6" s="100"/>
      <c r="D6" s="100"/>
      <c r="E6" s="100"/>
      <c r="F6" s="101"/>
      <c r="G6" s="24">
        <v>122877427.84155519</v>
      </c>
      <c r="H6" s="14" t="s">
        <v>3</v>
      </c>
      <c r="I6" s="1"/>
    </row>
    <row r="7" spans="1:9" x14ac:dyDescent="0.25">
      <c r="A7" s="1"/>
      <c r="B7" s="99" t="s">
        <v>71</v>
      </c>
      <c r="C7" s="100"/>
      <c r="D7" s="100"/>
      <c r="E7" s="100"/>
      <c r="F7" s="101"/>
      <c r="G7" s="24">
        <f>G6*'Fane 14. Nøgletal'!C18</f>
        <v>1118184.5933581523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2" t="s">
        <v>78</v>
      </c>
      <c r="C10" s="103"/>
      <c r="D10" s="103"/>
      <c r="E10" s="103"/>
      <c r="F10" s="103"/>
      <c r="G10" s="103"/>
      <c r="H10" s="104"/>
      <c r="I10" s="1"/>
    </row>
    <row r="11" spans="1:9" x14ac:dyDescent="0.25">
      <c r="A11" s="1"/>
      <c r="B11" s="99" t="s">
        <v>79</v>
      </c>
      <c r="C11" s="100"/>
      <c r="D11" s="100"/>
      <c r="E11" s="100"/>
      <c r="F11" s="101"/>
      <c r="G11" s="24">
        <f>(G6-G7)*(1+'Fane 14. Nøgletal'!C10)</f>
        <v>123890030.0050405</v>
      </c>
      <c r="H11" s="14" t="s">
        <v>3</v>
      </c>
      <c r="I11" s="1"/>
    </row>
    <row r="12" spans="1:9" x14ac:dyDescent="0.25">
      <c r="A12" s="1"/>
      <c r="B12" s="99" t="s">
        <v>186</v>
      </c>
      <c r="C12" s="100"/>
      <c r="D12" s="100"/>
      <c r="E12" s="100"/>
      <c r="F12" s="101"/>
      <c r="G12" s="24">
        <v>1027619.3074171473</v>
      </c>
      <c r="H12" s="14" t="s">
        <v>3</v>
      </c>
      <c r="I12" s="1"/>
    </row>
    <row r="13" spans="1:9" x14ac:dyDescent="0.25">
      <c r="A13" s="1"/>
      <c r="B13" s="96" t="s">
        <v>80</v>
      </c>
      <c r="C13" s="97"/>
      <c r="D13" s="97"/>
      <c r="E13" s="97"/>
      <c r="F13" s="98"/>
      <c r="G13" s="24">
        <v>0</v>
      </c>
      <c r="H13" s="14" t="s">
        <v>3</v>
      </c>
      <c r="I13" s="1"/>
    </row>
    <row r="14" spans="1:9" x14ac:dyDescent="0.25">
      <c r="A14" s="1"/>
      <c r="B14" s="99" t="s">
        <v>81</v>
      </c>
      <c r="C14" s="100"/>
      <c r="D14" s="100"/>
      <c r="E14" s="100"/>
      <c r="F14" s="101"/>
      <c r="G14" s="24">
        <f>SUM(G11:G13)*'Fane 14. Nøgletal'!C19</f>
        <v>2211042.3928305004</v>
      </c>
      <c r="H14" s="14" t="s">
        <v>3</v>
      </c>
      <c r="I14" s="1"/>
    </row>
    <row r="15" spans="1:9" x14ac:dyDescent="0.25">
      <c r="A15" s="1"/>
      <c r="B15" s="37"/>
      <c r="C15" s="38"/>
      <c r="D15" s="38"/>
      <c r="E15" s="38"/>
      <c r="F15" s="38"/>
      <c r="G15" s="38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02" t="s">
        <v>82</v>
      </c>
      <c r="C17" s="103"/>
      <c r="D17" s="103"/>
      <c r="E17" s="103"/>
      <c r="F17" s="103"/>
      <c r="G17" s="103"/>
      <c r="H17" s="104"/>
      <c r="I17" s="1"/>
    </row>
    <row r="18" spans="1:9" x14ac:dyDescent="0.25">
      <c r="A18" s="1"/>
      <c r="B18" s="99" t="s">
        <v>83</v>
      </c>
      <c r="C18" s="100"/>
      <c r="D18" s="100"/>
      <c r="E18" s="100"/>
      <c r="F18" s="101"/>
      <c r="G18" s="24">
        <f>(G11+G12+G13-G14)*(1+'Fane 14. Nøgletal'!C10)</f>
        <v>124853972.54072063</v>
      </c>
      <c r="H18" s="14" t="s">
        <v>3</v>
      </c>
      <c r="I18" s="1"/>
    </row>
    <row r="19" spans="1:9" x14ac:dyDescent="0.25">
      <c r="A19" s="1"/>
      <c r="B19" s="96" t="s">
        <v>84</v>
      </c>
      <c r="C19" s="97"/>
      <c r="D19" s="97"/>
      <c r="E19" s="97"/>
      <c r="F19" s="98"/>
      <c r="G19" s="24">
        <v>797971.80858308985</v>
      </c>
      <c r="H19" s="14" t="s">
        <v>3</v>
      </c>
      <c r="I19" s="1"/>
    </row>
    <row r="20" spans="1:9" x14ac:dyDescent="0.25">
      <c r="A20" s="1"/>
      <c r="B20" s="99" t="s">
        <v>85</v>
      </c>
      <c r="C20" s="100"/>
      <c r="D20" s="100"/>
      <c r="E20" s="100"/>
      <c r="F20" s="101"/>
      <c r="G20" s="24">
        <f>G18*'Fane 14. Nøgletal'!C19+G19*'Fane 14. Nøgletal'!C20</f>
        <v>2216857.668705428</v>
      </c>
      <c r="H20" s="14" t="s">
        <v>3</v>
      </c>
      <c r="I20" s="1"/>
    </row>
    <row r="21" spans="1:9" x14ac:dyDescent="0.25">
      <c r="A21" s="1"/>
      <c r="B21" s="37"/>
      <c r="C21" s="38"/>
      <c r="D21" s="38"/>
      <c r="E21" s="38"/>
      <c r="F21" s="38"/>
      <c r="G21" s="38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02" t="s">
        <v>86</v>
      </c>
      <c r="C23" s="103"/>
      <c r="D23" s="103"/>
      <c r="E23" s="103"/>
      <c r="F23" s="103"/>
      <c r="G23" s="103"/>
      <c r="H23" s="104"/>
      <c r="I23" s="1"/>
    </row>
    <row r="24" spans="1:9" x14ac:dyDescent="0.25">
      <c r="A24" s="1"/>
      <c r="B24" s="99" t="s">
        <v>87</v>
      </c>
      <c r="C24" s="100"/>
      <c r="D24" s="100"/>
      <c r="E24" s="100"/>
      <c r="F24" s="101"/>
      <c r="G24" s="24">
        <f>G18*(1-'Fane 14. Nøgletal'!C19)*(1+'Fane 14. Nøgletal'!C10)+G19*(1-'Fane 14. Nøgletal'!C20)*(1+'Fane 14. Nøgletal'!C11)</f>
        <v>125594726.07983646</v>
      </c>
      <c r="H24" s="14" t="s">
        <v>3</v>
      </c>
      <c r="I24" s="1"/>
    </row>
    <row r="25" spans="1:9" x14ac:dyDescent="0.25">
      <c r="A25" s="1"/>
      <c r="B25" s="105" t="s">
        <v>177</v>
      </c>
      <c r="C25" s="97"/>
      <c r="D25" s="97"/>
      <c r="E25" s="97"/>
      <c r="F25" s="98"/>
      <c r="G25" s="24">
        <f>G19*(1-'Fane 14. Nøgletal'!C20)*(1+'Fane 14. Nøgletal'!C11)</f>
        <v>804397.85161845514</v>
      </c>
      <c r="H25" s="14" t="s">
        <v>3</v>
      </c>
      <c r="I25" s="1"/>
    </row>
    <row r="26" spans="1:9" x14ac:dyDescent="0.25">
      <c r="A26" s="1"/>
      <c r="B26" s="96" t="s">
        <v>88</v>
      </c>
      <c r="C26" s="97"/>
      <c r="D26" s="97"/>
      <c r="E26" s="97"/>
      <c r="F26" s="98"/>
      <c r="G26" s="24">
        <v>1676052.1596694316</v>
      </c>
      <c r="H26" s="14" t="s">
        <v>3</v>
      </c>
      <c r="I26" s="1"/>
    </row>
    <row r="27" spans="1:9" x14ac:dyDescent="0.25">
      <c r="A27" s="1"/>
      <c r="B27" s="99" t="s">
        <v>89</v>
      </c>
      <c r="C27" s="100"/>
      <c r="D27" s="100"/>
      <c r="E27" s="100"/>
      <c r="F27" s="101"/>
      <c r="G27" s="24">
        <f>(G24-G25)*'Fane 14. Nøgletal'!C19+G25*'Fane 14. Nøgletal'!C20+G26*'Fane 14. Nøgletal'!C21</f>
        <v>2263386.952283151</v>
      </c>
      <c r="H27" s="14" t="s">
        <v>3</v>
      </c>
      <c r="I27" s="1"/>
    </row>
    <row r="28" spans="1:9" x14ac:dyDescent="0.25">
      <c r="A28" s="1"/>
      <c r="B28" s="37"/>
      <c r="C28" s="38"/>
      <c r="D28" s="38"/>
      <c r="E28" s="38"/>
      <c r="F28" s="38"/>
      <c r="G28" s="38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02" t="s">
        <v>90</v>
      </c>
      <c r="C30" s="103"/>
      <c r="D30" s="103"/>
      <c r="E30" s="103"/>
      <c r="F30" s="103"/>
      <c r="G30" s="103"/>
      <c r="H30" s="104"/>
      <c r="I30" s="1"/>
    </row>
    <row r="31" spans="1:9" x14ac:dyDescent="0.25">
      <c r="A31" s="1"/>
      <c r="B31" s="99" t="s">
        <v>91</v>
      </c>
      <c r="C31" s="100"/>
      <c r="D31" s="100"/>
      <c r="E31" s="100"/>
      <c r="F31" s="101"/>
      <c r="G31" s="24">
        <f>(G24-G25)*(1-'Fane 14. Nøgletal'!C19)*(1+'Fane 14. Nøgletal'!C10)+G25*(1-'Fane 14. Nøgletal'!C20)*(1+'Fane 14. Nøgletal'!C11)+G26*(1-'Fane 14. Nøgletal'!C21)*(1+'Fane 14. Nøgletal'!C12)</f>
        <v>127198124.79000729</v>
      </c>
      <c r="H31" s="14" t="s">
        <v>3</v>
      </c>
      <c r="I31" s="1"/>
    </row>
    <row r="32" spans="1:9" x14ac:dyDescent="0.25">
      <c r="A32" s="1"/>
      <c r="B32" s="105" t="s">
        <v>178</v>
      </c>
      <c r="C32" s="97"/>
      <c r="D32" s="97"/>
      <c r="E32" s="97"/>
      <c r="F32" s="98"/>
      <c r="G32" s="24">
        <f>G25*(1-'Fane 14. Nøgletal'!C20)*(1+'Fane 14. Nøgletal'!C11)</f>
        <v>810875.64338560286</v>
      </c>
      <c r="H32" s="14" t="s">
        <v>3</v>
      </c>
      <c r="I32" s="1"/>
    </row>
    <row r="33" spans="1:9" x14ac:dyDescent="0.25">
      <c r="A33" s="1"/>
      <c r="B33" s="105" t="s">
        <v>179</v>
      </c>
      <c r="C33" s="97"/>
      <c r="D33" s="97"/>
      <c r="E33" s="97"/>
      <c r="F33" s="98"/>
      <c r="G33" s="24">
        <f>G26*(1-'Fane 14. Nøgletal'!C21)*(1+'Fane 14. Nøgletal'!C12)</f>
        <v>1660532.7882180158</v>
      </c>
      <c r="H33" s="14" t="s">
        <v>3</v>
      </c>
      <c r="I33" s="1"/>
    </row>
    <row r="34" spans="1:9" x14ac:dyDescent="0.25">
      <c r="A34" s="1"/>
      <c r="B34" s="99" t="s">
        <v>244</v>
      </c>
      <c r="C34" s="100"/>
      <c r="D34" s="100"/>
      <c r="E34" s="100"/>
      <c r="F34" s="101"/>
      <c r="G34" s="24">
        <f>SUM('Fane 2.1. Økonomisk ramme 2021'!C15,'Fane 2.1. Økonomisk ramme 2021'!C17,'Fane 2.1. Økonomisk ramme 2021'!C19)*(1+'Fane 14. Nøgletal'!C13)</f>
        <v>2287557.9731955719</v>
      </c>
      <c r="H34" s="14" t="s">
        <v>3</v>
      </c>
      <c r="I34" s="1"/>
    </row>
    <row r="35" spans="1:9" x14ac:dyDescent="0.25">
      <c r="A35" s="1"/>
      <c r="B35" s="99" t="s">
        <v>92</v>
      </c>
      <c r="C35" s="100"/>
      <c r="D35" s="100"/>
      <c r="E35" s="100"/>
      <c r="F35" s="101"/>
      <c r="G35" s="24">
        <f>(G31-SUM(G32:G33))*'Fane 14. Nøgletal'!C19+G32*'Fane 14. Nøgletal'!C20+G33*'Fane 14. Nøgletal'!C21+G34*'Fane 14. Nøgletal'!C22</f>
        <v>2324784.4730894696</v>
      </c>
      <c r="H35" s="14" t="s">
        <v>3</v>
      </c>
      <c r="I35" s="1"/>
    </row>
    <row r="36" spans="1:9" x14ac:dyDescent="0.25">
      <c r="A36" s="1"/>
      <c r="B36" s="37"/>
      <c r="C36" s="38"/>
      <c r="D36" s="38"/>
      <c r="E36" s="38"/>
      <c r="F36" s="38"/>
      <c r="G36" s="38"/>
      <c r="H36" s="20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02" t="s">
        <v>101</v>
      </c>
      <c r="C38" s="103"/>
      <c r="D38" s="103"/>
      <c r="E38" s="103"/>
      <c r="F38" s="103"/>
      <c r="G38" s="103"/>
      <c r="H38" s="104"/>
      <c r="I38" s="1"/>
    </row>
    <row r="39" spans="1:9" x14ac:dyDescent="0.25">
      <c r="A39" s="1"/>
      <c r="B39" s="99" t="s">
        <v>96</v>
      </c>
      <c r="C39" s="100"/>
      <c r="D39" s="100"/>
      <c r="E39" s="100"/>
      <c r="F39" s="101"/>
      <c r="G39" s="24">
        <f>(SUM(G31,G34)-G35)*(1+'Fane 14. Nøgletal'!C13)</f>
        <v>128712261.24925277</v>
      </c>
      <c r="H39" s="14" t="s">
        <v>3</v>
      </c>
      <c r="I39" s="1"/>
    </row>
    <row r="40" spans="1:9" x14ac:dyDescent="0.25">
      <c r="A40" s="1"/>
      <c r="B40" s="99" t="s">
        <v>119</v>
      </c>
      <c r="C40" s="100"/>
      <c r="D40" s="100"/>
      <c r="E40" s="100"/>
      <c r="F40" s="101"/>
      <c r="G40" s="24">
        <f>-'Fane 13. Bortfald'!E18*(1+'Fane 14. Nøgletal'!C13)</f>
        <v>0</v>
      </c>
      <c r="H40" s="14" t="s">
        <v>3</v>
      </c>
      <c r="I40" s="1"/>
    </row>
    <row r="41" spans="1:9" x14ac:dyDescent="0.25">
      <c r="A41" s="1"/>
      <c r="B41" s="99" t="s">
        <v>93</v>
      </c>
      <c r="C41" s="100"/>
      <c r="D41" s="100"/>
      <c r="E41" s="100"/>
      <c r="F41" s="101"/>
      <c r="G41" s="24">
        <f>(G39+G40)*'Fane 14. Nøgletal'!C22</f>
        <v>3539587.184354451</v>
      </c>
      <c r="H41" s="14" t="s">
        <v>3</v>
      </c>
      <c r="I41" s="1"/>
    </row>
    <row r="42" spans="1:9" x14ac:dyDescent="0.25">
      <c r="A42" s="1"/>
      <c r="B42" s="37"/>
      <c r="C42" s="38"/>
      <c r="D42" s="38"/>
      <c r="E42" s="38"/>
      <c r="F42" s="38"/>
      <c r="G42" s="38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02" t="s">
        <v>102</v>
      </c>
      <c r="C44" s="103"/>
      <c r="D44" s="103"/>
      <c r="E44" s="103"/>
      <c r="F44" s="103"/>
      <c r="G44" s="103"/>
      <c r="H44" s="104"/>
      <c r="I44" s="1"/>
    </row>
    <row r="45" spans="1:9" x14ac:dyDescent="0.25">
      <c r="A45" s="1"/>
      <c r="B45" s="99" t="s">
        <v>95</v>
      </c>
      <c r="C45" s="100"/>
      <c r="D45" s="100"/>
      <c r="E45" s="100"/>
      <c r="F45" s="101"/>
      <c r="G45" s="24">
        <f>(G39+G40-G41)*(1+'Fane 14. Nøgletal'!C13)</f>
        <v>126699780.68849006</v>
      </c>
      <c r="H45" s="14" t="s">
        <v>3</v>
      </c>
      <c r="I45" s="1"/>
    </row>
    <row r="46" spans="1:9" x14ac:dyDescent="0.25">
      <c r="A46" s="1"/>
      <c r="B46" s="99" t="s">
        <v>120</v>
      </c>
      <c r="C46" s="100"/>
      <c r="D46" s="100"/>
      <c r="E46" s="100"/>
      <c r="F46" s="101"/>
      <c r="G46" s="24">
        <f>-'Fane 13. Bortfald'!E24*(1+'Fane 14. Nøgletal'!C13)</f>
        <v>0</v>
      </c>
      <c r="H46" s="14" t="s">
        <v>3</v>
      </c>
      <c r="I46" s="1"/>
    </row>
    <row r="47" spans="1:9" x14ac:dyDescent="0.25">
      <c r="A47" s="1"/>
      <c r="B47" s="99" t="s">
        <v>94</v>
      </c>
      <c r="C47" s="100"/>
      <c r="D47" s="100"/>
      <c r="E47" s="100"/>
      <c r="F47" s="101"/>
      <c r="G47" s="24">
        <f>(G45+G46)*'Fane 14. Nøgletal'!C22</f>
        <v>3484243.9689334766</v>
      </c>
      <c r="H47" s="14" t="s">
        <v>3</v>
      </c>
      <c r="I47" s="1"/>
    </row>
    <row r="48" spans="1:9" x14ac:dyDescent="0.25">
      <c r="A48" s="1"/>
      <c r="B48" s="37"/>
      <c r="C48" s="38"/>
      <c r="D48" s="38"/>
      <c r="E48" s="38"/>
      <c r="F48" s="38"/>
      <c r="G48" s="38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02" t="s">
        <v>245</v>
      </c>
      <c r="C51" s="103"/>
      <c r="D51" s="103"/>
      <c r="E51" s="103"/>
      <c r="F51" s="103"/>
      <c r="G51" s="103"/>
      <c r="H51" s="104"/>
      <c r="I51" s="1"/>
    </row>
    <row r="52" spans="1:9" x14ac:dyDescent="0.25">
      <c r="A52" s="1"/>
      <c r="B52" s="99" t="s">
        <v>246</v>
      </c>
      <c r="C52" s="100"/>
      <c r="D52" s="100"/>
      <c r="E52" s="100"/>
      <c r="F52" s="101"/>
      <c r="G52" s="24">
        <f>(G45+G46-G47)*(1+'Fane 14. Nøgletal'!C13)</f>
        <v>124718766.26753518</v>
      </c>
      <c r="H52" s="14" t="s">
        <v>3</v>
      </c>
      <c r="I52" s="1"/>
    </row>
    <row r="53" spans="1:9" x14ac:dyDescent="0.25">
      <c r="A53" s="1"/>
      <c r="B53" s="99" t="s">
        <v>247</v>
      </c>
      <c r="C53" s="100"/>
      <c r="D53" s="100"/>
      <c r="E53" s="100"/>
      <c r="F53" s="101"/>
      <c r="G53" s="24">
        <f>-'Fane 13. Bortfald'!E30*(1+'Fane 14. Nøgletal'!C13)</f>
        <v>0</v>
      </c>
      <c r="H53" s="14" t="s">
        <v>3</v>
      </c>
      <c r="I53" s="1"/>
    </row>
    <row r="54" spans="1:9" x14ac:dyDescent="0.25">
      <c r="A54" s="1"/>
      <c r="B54" s="99" t="s">
        <v>248</v>
      </c>
      <c r="C54" s="100"/>
      <c r="D54" s="100"/>
      <c r="E54" s="100"/>
      <c r="F54" s="101"/>
      <c r="G54" s="24">
        <f>(G52+G53)*'Fane 14. Nøgletal'!C22</f>
        <v>3429766.0723572173</v>
      </c>
      <c r="H54" s="14" t="s">
        <v>3</v>
      </c>
      <c r="I54" s="1"/>
    </row>
    <row r="55" spans="1:9" x14ac:dyDescent="0.25">
      <c r="A55" s="1"/>
      <c r="B55" s="37"/>
      <c r="C55" s="38"/>
      <c r="D55" s="38"/>
      <c r="E55" s="38"/>
      <c r="F55" s="38"/>
      <c r="G55" s="38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u76VC6O/UOTSox8jb+HUp2oReidWfWT30BBt4ZFQvCKoWRKhwQxsoVCi9mJyD88WcGocBzmajJtdFbSK6WSglw==" saltValue="kOh5rpxvbSpnl2igtgbZtw==" spinCount="100000" sheet="1" objects="1" scenarios="1"/>
  <mergeCells count="36">
    <mergeCell ref="B46:F46"/>
    <mergeCell ref="B24:F24"/>
    <mergeCell ref="B26:F26"/>
    <mergeCell ref="B27:F27"/>
    <mergeCell ref="B41:F41"/>
    <mergeCell ref="B44:H44"/>
    <mergeCell ref="B45:F45"/>
    <mergeCell ref="B30:H30"/>
    <mergeCell ref="B31:F31"/>
    <mergeCell ref="B35:F35"/>
    <mergeCell ref="B38:H38"/>
    <mergeCell ref="B34:F34"/>
    <mergeCell ref="B25:F25"/>
    <mergeCell ref="B53:F53"/>
    <mergeCell ref="B52:F52"/>
    <mergeCell ref="B54:F54"/>
    <mergeCell ref="B2:H3"/>
    <mergeCell ref="B40:F40"/>
    <mergeCell ref="B51:H51"/>
    <mergeCell ref="B32:F32"/>
    <mergeCell ref="B33:F33"/>
    <mergeCell ref="B39:F39"/>
    <mergeCell ref="B47:F47"/>
    <mergeCell ref="B20:F20"/>
    <mergeCell ref="B5:H5"/>
    <mergeCell ref="B6:F6"/>
    <mergeCell ref="B7:F7"/>
    <mergeCell ref="B10:H10"/>
    <mergeCell ref="B12:F12"/>
    <mergeCell ref="B11:F11"/>
    <mergeCell ref="B13:F13"/>
    <mergeCell ref="B14:F14"/>
    <mergeCell ref="B18:F18"/>
    <mergeCell ref="B23:H23"/>
    <mergeCell ref="B17:H17"/>
    <mergeCell ref="B19:F1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113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2" t="s">
        <v>10</v>
      </c>
      <c r="C8" s="103"/>
      <c r="D8" s="103"/>
      <c r="E8" s="103"/>
      <c r="F8" s="103"/>
      <c r="G8" s="103"/>
      <c r="H8" s="104"/>
      <c r="I8" s="1"/>
    </row>
    <row r="9" spans="1:9" x14ac:dyDescent="0.25">
      <c r="A9" s="1"/>
      <c r="B9" s="99" t="s">
        <v>103</v>
      </c>
      <c r="C9" s="100"/>
      <c r="D9" s="100"/>
      <c r="E9" s="100"/>
      <c r="F9" s="101"/>
      <c r="G9" s="23">
        <v>3.3666929540928808E-3</v>
      </c>
      <c r="H9" s="14"/>
      <c r="I9" s="1"/>
    </row>
    <row r="10" spans="1:9" x14ac:dyDescent="0.25">
      <c r="A10" s="1"/>
      <c r="B10" s="99" t="s">
        <v>148</v>
      </c>
      <c r="C10" s="100"/>
      <c r="D10" s="100"/>
      <c r="E10" s="100"/>
      <c r="F10" s="101"/>
      <c r="G10" s="23">
        <v>0</v>
      </c>
      <c r="H10" s="14"/>
      <c r="I10" s="1"/>
    </row>
    <row r="11" spans="1:9" x14ac:dyDescent="0.25">
      <c r="A11" s="1"/>
      <c r="B11" s="37"/>
      <c r="C11" s="38"/>
      <c r="D11" s="38"/>
      <c r="E11" s="38"/>
      <c r="F11" s="38"/>
      <c r="G11" s="38"/>
      <c r="H11" s="20"/>
      <c r="I11" s="1"/>
    </row>
    <row r="12" spans="1:9" ht="40.5" customHeight="1" x14ac:dyDescent="0.25">
      <c r="A12" s="1"/>
      <c r="B12" s="74" t="s">
        <v>152</v>
      </c>
      <c r="C12" s="75"/>
      <c r="D12" s="75"/>
      <c r="E12" s="75"/>
      <c r="F12" s="75"/>
      <c r="G12" s="75"/>
      <c r="H12" s="76"/>
      <c r="I12" s="1"/>
    </row>
    <row r="13" spans="1:9" ht="30.75" customHeight="1" x14ac:dyDescent="0.25">
      <c r="A13" s="18"/>
      <c r="B13" s="109"/>
      <c r="C13" s="109"/>
      <c r="D13" s="109"/>
      <c r="E13" s="109"/>
      <c r="F13" s="109"/>
      <c r="G13" s="109"/>
      <c r="H13" s="10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0u+e/P5lnNHeWBhOVGi72FdzRzWGf1yMiWU8f8Tf0R3bmRUuesQk+pJjVEeJHdBB2tW8yduwZUAl0h6bvTT8eA==" saltValue="FzivaxpshjcfsjiCB66PHw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2020-09-10T09:46:58Z</dcterms:modified>
</cp:coreProperties>
</file>