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4"/>
  <workbookPr codeName="Denne_projektmappe" defaultThemeVersion="124226"/>
  <mc:AlternateContent xmlns:mc="http://schemas.openxmlformats.org/markup-compatibility/2006">
    <mc:Choice Requires="x15">
      <x15ac:absPath xmlns:x15ac="http://schemas.microsoft.com/office/spreadsheetml/2010/11/ac" url="E:\VAND\Sagsbehandling\Spildevand\SK Spildevand AS (S084)\ØR2025\"/>
    </mc:Choice>
  </mc:AlternateContent>
  <xr:revisionPtr revIDLastSave="0" documentId="13_ncr:1_{D605D0EA-3A9B-49DB-92A2-5CEBA2A773BE}"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ØR2024'!$B$8:$D$40</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23" i="43" l="1"/>
  <c r="C27" i="43" s="1"/>
  <c r="C32" i="2" s="1"/>
  <c r="F10" i="11" l="1"/>
  <c r="C11" i="29"/>
  <c r="C10" i="36" l="1"/>
  <c r="C10" i="30"/>
  <c r="C20" i="23" l="1"/>
  <c r="C22" i="22"/>
  <c r="C22" i="15"/>
  <c r="C36" i="2"/>
  <c r="C11" i="30" l="1"/>
  <c r="C15" i="30" s="1"/>
  <c r="C29" i="20" l="1"/>
  <c r="C28" i="20"/>
  <c r="C23" i="20"/>
  <c r="C22" i="20"/>
  <c r="C24" i="20" l="1"/>
  <c r="C30" i="20"/>
  <c r="C18" i="41"/>
  <c r="C16" i="20" l="1"/>
  <c r="C10" i="20"/>
  <c r="C31" i="43" l="1"/>
  <c r="C33" i="43" l="1"/>
  <c r="C20" i="22" l="1"/>
  <c r="C20" i="15"/>
  <c r="C12" i="29" l="1"/>
  <c r="E11" i="29"/>
  <c r="E12" i="29" s="1"/>
  <c r="E13" i="39"/>
  <c r="E14" i="39" s="1"/>
  <c r="C13" i="39"/>
  <c r="C14" i="39" s="1"/>
  <c r="J11" i="11"/>
  <c r="H11" i="11"/>
  <c r="C10" i="37" s="1"/>
  <c r="C20" i="19"/>
  <c r="C21"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2" i="20" s="1"/>
  <c r="C18" i="15" l="1"/>
  <c r="C24" i="2"/>
  <c r="C16" i="40"/>
  <c r="C34" i="2" s="1"/>
  <c r="E11" i="21" l="1"/>
  <c r="E12" i="21" s="1"/>
  <c r="C13" i="2" l="1"/>
  <c r="C18" i="37"/>
  <c r="C19" i="37" s="1"/>
  <c r="C10" i="2" l="1"/>
  <c r="C16" i="30" l="1"/>
  <c r="C17" i="30" s="1"/>
  <c r="C21" i="30" l="1"/>
  <c r="C22" i="30" s="1"/>
  <c r="C18" i="2"/>
  <c r="E18" i="37"/>
  <c r="E19"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<sst xmlns="http://schemas.openxmlformats.org/spreadsheetml/2006/main" count="550" uniqueCount="237">
  <si>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</si>
  <si>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</si>
  <si>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</si>
  <si>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</si>
  <si>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</si>
  <si>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</si>
  <si>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</si>
  <si>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</si>
  <si>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</si>
  <si>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</si>
  <si>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</si>
  <si>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</si>
  <si>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</si>
  <si>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</si>
  <si>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</si>
  <si>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</si>
  <si>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</si>
  <si>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</si>
  <si>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</si>
  <si>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</si>
  <si>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</si>
  <si>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</si>
  <si>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</si>
  <si>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</si>
  <si>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</si>
  <si>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</si>
  <si>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</si>
  <si>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</si>
  <si>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</si>
  <si>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</si>
  <si>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</si>
  <si>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</si>
  <si>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</si>
  <si>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</si>
  <si>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</si>
  <si>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</si>
  <si>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</si>
  <si>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</si>
  <si>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</si>
  <si>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</si>
  <si>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</si>
  <si>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</si>
  <si>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</si>
  <si>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</si>
  <si>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</si>
  <si>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</si>
  <si>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</si>
  <si>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</si>
  <si>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</si>
  <si>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</si>
  <si>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</si>
  <si>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</si>
  <si>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</si>
  <si>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</si>
  <si>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</si>
  <si>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</si>
  <si>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</si>
  <si>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</si>
  <si>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</si>
  <si>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</si>
  <si>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</si>
  <si>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</si>
  <si>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</si>
  <si>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</si>
  <si>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</si>
  <si>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</si>
  <si>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</si>
  <si>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</si>
  <si>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</si>
  <si>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</si>
  <si>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</si>
  <si>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</si>
  <si>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</si>
  <si>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</si>
  <si>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</si>
  <si>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</si>
  <si>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</si>
  <si>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</si>
  <si>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</si>
  <si>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</si>
  <si>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</si>
  <si>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</si>
  <si>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</si>
  <si>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</si>
  <si>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</si>
  <si>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</si>
  <si>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</si>
  <si>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</si>
  <si>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</si>
  <si>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</si>
  <si>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</si>
  <si>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</si>
  <si>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</si>
  <si>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</si>
  <si>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</si>
  <si>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</si>
  <si>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</si>
  <si>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</si>
  <si>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</si>
  <si>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</si>
  <si>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</si>
  <si>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</si>
  <si>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</si>
  <si>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</si>
  <si>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</si>
  <si>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</si>
  <si>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</si>
  <si>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</si>
  <si>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</si>
  <si>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</si>
  <si>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</si>
  <si>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</si>
  <si>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</si>
  <si>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</si>
  <si>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</si>
  <si>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</si>
  <si>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</si>
  <si>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</si>
  <si>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</si>
  <si>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</si>
  <si>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</si>
  <si>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</si>
  <si>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</si>
  <si>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</si>
  <si>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</si>
  <si>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</si>
  <si>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</si>
  <si>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</si>
  <si>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</si>
  <si>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</si>
  <si>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</si>
  <si>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</si>
  <si>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</si>
  <si>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</si>
  <si>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</si>
  <si>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</si>
  <si>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</si>
  <si>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</si>
  <si>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</si>
  <si>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</si>
  <si>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</si>
  <si>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</si>
  <si>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</si>
  <si>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</si>
  <si>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</si>
  <si>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</si>
  <si>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</si>
  <si>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</si>
  <si>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</si>
  <si>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</si>
  <si>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</si>
  <si>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</si>
  <si>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</si>
  <si>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</si>
  <si>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</si>
  <si>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</si>
  <si>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</si>
  <si>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</si>
  <si>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</si>
  <si>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</si>
  <si>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</si>
  <si>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</si>
  <si>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</si>
  <si>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</si>
  <si>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</si>
  <si>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</si>
  <si>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</si>
  <si>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</si>
  <si>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</si>
  <si>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</si>
  <si>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</si>
  <si>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</si>
  <si>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</si>
  <si>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</si>
  <si>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</si>
  <si>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</si>
  <si>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</si>
  <si>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</si>
  <si>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</si>
  <si>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</si>
  <si>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</si>
  <si>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</si>
  <si>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</si>
  <si>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</si>
  <si>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</si>
  <si>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</si>
  <si>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</si>
  <si>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</si>
  <si>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</si>
  <si>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</si>
  <si>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</si>
  <si>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</si>
  <si>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</si>
  <si>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</si>
  <si>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</si>
  <si>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</si>
  <si>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</si>
  <si>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</si>
  <si>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</si>
  <si>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</si>
  <si>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</si>
  <si>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</si>
  <si>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</si>
  <si>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</si>
  <si>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</si>
  <si>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</si>
  <si>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</si>
  <si>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</si>
  <si>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</si>
  <si>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</si>
  <si>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</si>
  <si>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</si>
  <si>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</si>
  <si>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Justering af den økonomiske ramme</t>
  </si>
  <si>
    <t>Justering af den økonomiske ramme for stigende el-omkostninger</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</si>
  <si>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</si>
  <si>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</si>
  <si>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</si>
  <si>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</si>
  <si>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</si>
  <si>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</si>
  <si>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</si>
  <si>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</si>
  <si>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</si>
  <si>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</si>
  <si>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</si>
  <si>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</si>
  <si>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</si>
  <si>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Til statusmeddelelse for 2025</t>
  </si>
  <si>
    <t>PFOS/PFAS Forurening</t>
  </si>
  <si>
    <t>Frølunde kloakering</t>
  </si>
  <si>
    <t>Spildevandsafgift</t>
  </si>
  <si>
    <t>Afgift til Forsyningssekretariatet</t>
  </si>
  <si>
    <t>Køb af ydelser og produkter fra andre vandselskaber reguleret af vandsektorloven</t>
  </si>
  <si>
    <t>Ejendomsskatter</t>
  </si>
  <si>
    <t>Tjenestemandspensioner</t>
  </si>
  <si>
    <t>Erstatninger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</si>
</sst>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9">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94" t="s">
        <v>4</v>
      </c>
      <c r="D6" s="94"/>
      <c r="E6" s="94"/>
      <c r="F6" s="94"/>
      <c r="G6" s="3"/>
    </row>
    <row r="7" spans="1:7" ht="15" customHeight="1" x14ac:dyDescent="0.25">
      <c r="A7" s="1"/>
      <c r="B7" s="3"/>
      <c r="C7" s="94"/>
      <c r="D7" s="94"/>
      <c r="E7" s="94"/>
      <c r="F7" s="94"/>
      <c r="G7" s="3"/>
    </row>
    <row r="8" spans="1:7" ht="15.75" x14ac:dyDescent="0.25">
      <c r="A8" s="1"/>
      <c r="B8" s="4"/>
      <c r="C8" s="99" t="s">
        <v>228</v>
      </c>
      <c r="D8" s="99"/>
      <c r="E8" s="99"/>
      <c r="F8" s="99"/>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98" t="s">
        <v>5</v>
      </c>
      <c r="D11" s="98"/>
      <c r="E11" s="98"/>
      <c r="F11" s="98"/>
      <c r="G11" s="5"/>
    </row>
    <row r="12" spans="1:7" x14ac:dyDescent="0.25">
      <c r="A12" s="1"/>
      <c r="B12" s="1"/>
      <c r="C12" s="1"/>
      <c r="D12" s="1"/>
      <c r="E12" s="1"/>
      <c r="F12" s="1"/>
      <c r="G12" s="5"/>
    </row>
    <row r="13" spans="1:7" x14ac:dyDescent="0.25">
      <c r="A13" s="1"/>
      <c r="B13" s="6" t="s">
        <v>6</v>
      </c>
      <c r="C13" s="100" t="s">
        <v>127</v>
      </c>
      <c r="D13" s="101"/>
      <c r="E13" s="101"/>
      <c r="F13" s="102"/>
      <c r="G13" s="5"/>
    </row>
    <row r="14" spans="1:7" x14ac:dyDescent="0.25">
      <c r="A14" s="1"/>
      <c r="B14" s="6" t="s">
        <v>16</v>
      </c>
      <c r="C14" s="91" t="s">
        <v>186</v>
      </c>
      <c r="D14" s="92"/>
      <c r="E14" s="92"/>
      <c r="F14" s="93"/>
      <c r="G14" s="5"/>
    </row>
    <row r="15" spans="1:7" x14ac:dyDescent="0.25">
      <c r="A15" s="1"/>
      <c r="B15" s="6" t="s">
        <v>30</v>
      </c>
      <c r="C15" s="91" t="s">
        <v>149</v>
      </c>
      <c r="D15" s="92"/>
      <c r="E15" s="92"/>
      <c r="F15" s="93"/>
      <c r="G15" s="5"/>
    </row>
    <row r="16" spans="1:7" x14ac:dyDescent="0.25">
      <c r="A16" s="1"/>
      <c r="B16" s="6" t="s">
        <v>31</v>
      </c>
      <c r="C16" s="91" t="s">
        <v>151</v>
      </c>
      <c r="D16" s="92"/>
      <c r="E16" s="92"/>
      <c r="F16" s="93"/>
      <c r="G16" s="5"/>
    </row>
    <row r="17" spans="1:8" x14ac:dyDescent="0.25">
      <c r="A17" s="1"/>
      <c r="B17" s="6" t="s">
        <v>61</v>
      </c>
      <c r="C17" s="91" t="s">
        <v>152</v>
      </c>
      <c r="D17" s="92"/>
      <c r="E17" s="92"/>
      <c r="F17" s="93"/>
      <c r="G17" s="5"/>
    </row>
    <row r="18" spans="1:8" x14ac:dyDescent="0.25">
      <c r="A18" s="1"/>
      <c r="B18" s="6" t="s">
        <v>53</v>
      </c>
      <c r="C18" s="88" t="s">
        <v>45</v>
      </c>
      <c r="D18" s="89"/>
      <c r="E18" s="89"/>
      <c r="F18" s="90"/>
      <c r="G18" s="5"/>
    </row>
    <row r="19" spans="1:8" x14ac:dyDescent="0.25">
      <c r="A19" s="1"/>
      <c r="B19" s="6" t="s">
        <v>54</v>
      </c>
      <c r="C19" s="88" t="s">
        <v>46</v>
      </c>
      <c r="D19" s="89"/>
      <c r="E19" s="89"/>
      <c r="F19" s="90"/>
      <c r="G19" s="5"/>
    </row>
    <row r="20" spans="1:8" x14ac:dyDescent="0.25">
      <c r="A20" s="1"/>
      <c r="B20" s="6" t="s">
        <v>7</v>
      </c>
      <c r="C20" s="88" t="s">
        <v>10</v>
      </c>
      <c r="D20" s="89"/>
      <c r="E20" s="89"/>
      <c r="F20" s="90"/>
      <c r="G20" s="5"/>
    </row>
    <row r="21" spans="1:8" x14ac:dyDescent="0.25">
      <c r="A21" s="1"/>
      <c r="B21" s="6" t="s">
        <v>55</v>
      </c>
      <c r="C21" s="95" t="s">
        <v>12</v>
      </c>
      <c r="D21" s="96"/>
      <c r="E21" s="96"/>
      <c r="F21" s="97"/>
      <c r="G21" s="5"/>
    </row>
    <row r="22" spans="1:8" x14ac:dyDescent="0.25">
      <c r="A22" s="1"/>
      <c r="B22" s="6" t="s">
        <v>39</v>
      </c>
      <c r="C22" s="82" t="s">
        <v>153</v>
      </c>
      <c r="D22" s="83"/>
      <c r="E22" s="83"/>
      <c r="F22" s="84"/>
      <c r="G22" s="5"/>
    </row>
    <row r="23" spans="1:8" x14ac:dyDescent="0.25">
      <c r="A23" s="1"/>
      <c r="B23" s="6" t="s">
        <v>8</v>
      </c>
      <c r="C23" s="82" t="s">
        <v>112</v>
      </c>
      <c r="D23" s="83"/>
      <c r="E23" s="83"/>
      <c r="F23" s="84"/>
      <c r="G23" s="5"/>
    </row>
    <row r="24" spans="1:8" x14ac:dyDescent="0.25">
      <c r="A24" s="1"/>
      <c r="B24" s="6" t="s">
        <v>9</v>
      </c>
      <c r="C24" s="82" t="s">
        <v>154</v>
      </c>
      <c r="D24" s="83"/>
      <c r="E24" s="83"/>
      <c r="F24" s="84"/>
      <c r="G24" s="5"/>
    </row>
    <row r="25" spans="1:8" x14ac:dyDescent="0.25">
      <c r="A25" s="1"/>
      <c r="B25" s="6" t="s">
        <v>97</v>
      </c>
      <c r="C25" s="82" t="s">
        <v>91</v>
      </c>
      <c r="D25" s="83"/>
      <c r="E25" s="83"/>
      <c r="F25" s="84"/>
      <c r="G25" s="1"/>
    </row>
    <row r="26" spans="1:8" x14ac:dyDescent="0.25">
      <c r="A26" s="1"/>
      <c r="B26" s="6" t="s">
        <v>98</v>
      </c>
      <c r="C26" s="82" t="s">
        <v>40</v>
      </c>
      <c r="D26" s="83"/>
      <c r="E26" s="83"/>
      <c r="F26" s="84"/>
      <c r="G26" s="1"/>
    </row>
    <row r="27" spans="1:8" x14ac:dyDescent="0.25">
      <c r="A27" s="1"/>
      <c r="B27" s="6" t="s">
        <v>99</v>
      </c>
      <c r="C27" s="82" t="s">
        <v>41</v>
      </c>
      <c r="D27" s="83"/>
      <c r="E27" s="83"/>
      <c r="F27" s="84"/>
      <c r="G27" s="1"/>
    </row>
    <row r="28" spans="1:8" x14ac:dyDescent="0.25">
      <c r="A28" s="1"/>
      <c r="B28" s="6" t="s">
        <v>15</v>
      </c>
      <c r="C28" s="82" t="s">
        <v>42</v>
      </c>
      <c r="D28" s="83"/>
      <c r="E28" s="83"/>
      <c r="F28" s="84"/>
      <c r="G28" s="1"/>
      <c r="H28" s="2" t="s">
        <v>150</v>
      </c>
    </row>
    <row r="29" spans="1:8" x14ac:dyDescent="0.25">
      <c r="A29" s="1"/>
      <c r="B29" s="6" t="s">
        <v>33</v>
      </c>
      <c r="C29" s="82" t="s">
        <v>68</v>
      </c>
      <c r="D29" s="83"/>
      <c r="E29" s="83"/>
      <c r="F29" s="84"/>
      <c r="G29" s="1"/>
    </row>
    <row r="30" spans="1:8" x14ac:dyDescent="0.25">
      <c r="A30" s="1"/>
      <c r="B30" s="6" t="s">
        <v>34</v>
      </c>
      <c r="C30" s="82" t="s">
        <v>32</v>
      </c>
      <c r="D30" s="83"/>
      <c r="E30" s="83"/>
      <c r="F30" s="84"/>
      <c r="G30" s="1"/>
    </row>
    <row r="31" spans="1:8" x14ac:dyDescent="0.25">
      <c r="A31" s="1"/>
      <c r="B31" s="6" t="s">
        <v>100</v>
      </c>
      <c r="C31" s="85" t="s">
        <v>52</v>
      </c>
      <c r="D31" s="86"/>
      <c r="E31" s="86"/>
      <c r="F31" s="87"/>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AAdwVJ3mhDHuEiyQj+JJGfeiugjCHOq21hRK5wR/nBwU7jJgwO3K3/+Tru3u/xB5TbDqQoI1mLjpOV+7fJ9jNA==" saltValue="zMet0IqHmfS7Xvy9ItENvQ==" spinCount="100000" sheet="1" objects="1" scenarios="1"/>
  <mergeCells count="22">
    <mergeCell ref="C14:F14"/>
    <mergeCell ref="C6:F7"/>
    <mergeCell ref="C21:F21"/>
    <mergeCell ref="C22:F22"/>
    <mergeCell ref="C11:F11"/>
    <mergeCell ref="C8:F8"/>
    <mergeCell ref="C15:F15"/>
    <mergeCell ref="C16:F16"/>
    <mergeCell ref="C19:F19"/>
    <mergeCell ref="C13:F13"/>
    <mergeCell ref="C17:F17"/>
    <mergeCell ref="C20:F20"/>
    <mergeCell ref="C30:F30"/>
    <mergeCell ref="C31:F31"/>
    <mergeCell ref="C18:F18"/>
    <mergeCell ref="C25:F25"/>
    <mergeCell ref="C26:F26"/>
    <mergeCell ref="C29:F29"/>
    <mergeCell ref="C27:F27"/>
    <mergeCell ref="C28:F28"/>
    <mergeCell ref="C24:F24"/>
    <mergeCell ref="C23:F23"/>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3" t="s">
        <v>58</v>
      </c>
      <c r="C3" s="103"/>
      <c r="D3" s="103"/>
      <c r="E3" s="1"/>
    </row>
    <row r="4" spans="1:5" ht="15" customHeight="1" x14ac:dyDescent="0.25">
      <c r="A4" s="1"/>
      <c r="B4" s="103"/>
      <c r="C4" s="103"/>
      <c r="D4" s="10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07" t="s">
        <v>165</v>
      </c>
      <c r="C8" s="108"/>
      <c r="D8" s="109"/>
      <c r="E8" s="1"/>
    </row>
    <row r="9" spans="1:5" ht="15" customHeight="1" x14ac:dyDescent="0.25">
      <c r="A9" s="1"/>
      <c r="B9" s="27" t="s">
        <v>28</v>
      </c>
      <c r="C9" s="67" t="s">
        <v>166</v>
      </c>
      <c r="D9" s="11"/>
      <c r="E9" s="1"/>
    </row>
    <row r="10" spans="1:5" ht="15" customHeight="1" x14ac:dyDescent="0.25">
      <c r="A10" s="1"/>
      <c r="B10" s="71" t="s">
        <v>231</v>
      </c>
      <c r="C10" s="72">
        <v>1759797</v>
      </c>
      <c r="D10" s="14" t="s">
        <v>3</v>
      </c>
      <c r="E10" s="1"/>
    </row>
    <row r="11" spans="1:5" ht="15" customHeight="1" x14ac:dyDescent="0.25">
      <c r="A11" s="1"/>
      <c r="B11" s="71" t="s">
        <v>232</v>
      </c>
      <c r="C11" s="72">
        <v>108982</v>
      </c>
      <c r="D11" s="14" t="s">
        <v>3</v>
      </c>
      <c r="E11" s="1"/>
    </row>
    <row r="12" spans="1:5" ht="25.5" x14ac:dyDescent="0.25">
      <c r="A12" s="1"/>
      <c r="B12" s="71" t="s">
        <v>233</v>
      </c>
      <c r="C12" s="72">
        <v>111182.67</v>
      </c>
      <c r="D12" s="14" t="s">
        <v>3</v>
      </c>
      <c r="E12" s="1"/>
    </row>
    <row r="13" spans="1:5" x14ac:dyDescent="0.25">
      <c r="A13" s="1"/>
      <c r="B13" s="71" t="s">
        <v>234</v>
      </c>
      <c r="C13" s="72">
        <v>578311.06000000006</v>
      </c>
      <c r="D13" s="14" t="s">
        <v>3</v>
      </c>
      <c r="E13" s="1"/>
    </row>
    <row r="14" spans="1:5" x14ac:dyDescent="0.25">
      <c r="A14" s="1"/>
      <c r="B14" s="71" t="s">
        <v>235</v>
      </c>
      <c r="C14" s="72">
        <v>202939.76</v>
      </c>
      <c r="D14" s="14" t="s">
        <v>3</v>
      </c>
      <c r="E14" s="1"/>
    </row>
    <row r="15" spans="1:5" x14ac:dyDescent="0.25">
      <c r="A15" s="1"/>
      <c r="B15" s="71" t="s">
        <v>236</v>
      </c>
      <c r="C15" s="72">
        <v>98004</v>
      </c>
      <c r="D15" s="14" t="s">
        <v>3</v>
      </c>
      <c r="E15" s="1"/>
    </row>
    <row r="16" spans="1:5" x14ac:dyDescent="0.25">
      <c r="A16" s="1"/>
      <c r="B16" s="71"/>
      <c r="C16" s="72"/>
      <c r="D16" s="14" t="s">
        <v>3</v>
      </c>
      <c r="E16" s="1"/>
    </row>
    <row r="17" spans="1:5" x14ac:dyDescent="0.25">
      <c r="A17" s="1"/>
      <c r="B17" s="71"/>
      <c r="C17" s="72"/>
      <c r="D17" s="14" t="s">
        <v>3</v>
      </c>
      <c r="E17" s="1"/>
    </row>
    <row r="18" spans="1:5" x14ac:dyDescent="0.25">
      <c r="A18" s="1"/>
      <c r="B18" s="71"/>
      <c r="C18" s="72"/>
      <c r="D18" s="14" t="s">
        <v>3</v>
      </c>
      <c r="E18" s="1"/>
    </row>
    <row r="19" spans="1:5" x14ac:dyDescent="0.25">
      <c r="A19" s="1"/>
      <c r="B19" s="71"/>
      <c r="C19" s="72"/>
      <c r="D19" s="14" t="s">
        <v>3</v>
      </c>
      <c r="E19" s="1"/>
    </row>
    <row r="20" spans="1:5" x14ac:dyDescent="0.25">
      <c r="A20" s="1"/>
      <c r="B20" s="33" t="s">
        <v>167</v>
      </c>
      <c r="C20" s="12">
        <f>SUM(C10:C19)</f>
        <v>2859216.49</v>
      </c>
      <c r="D20" s="13" t="s">
        <v>3</v>
      </c>
      <c r="E20" s="1"/>
    </row>
    <row r="21" spans="1:5" x14ac:dyDescent="0.25">
      <c r="A21" s="1"/>
      <c r="B21" s="33" t="s">
        <v>168</v>
      </c>
      <c r="C21" s="12">
        <f>C20*(1+'Fane 15. Nøgletal'!C10)^2</f>
        <v>3250916.8259069282</v>
      </c>
      <c r="D21" s="13" t="s">
        <v>3</v>
      </c>
      <c r="E21" s="1"/>
    </row>
    <row r="22" spans="1:5" x14ac:dyDescent="0.25">
      <c r="A22" s="1"/>
      <c r="B22" s="16"/>
      <c r="C22" s="15"/>
      <c r="D22" s="15"/>
      <c r="E22" s="1"/>
    </row>
    <row r="23" spans="1:5" x14ac:dyDescent="0.25">
      <c r="A23" s="1"/>
      <c r="B23" s="16"/>
      <c r="C23" s="15"/>
      <c r="D23" s="15"/>
      <c r="E23" s="1"/>
    </row>
    <row r="24" spans="1:5" x14ac:dyDescent="0.25">
      <c r="A24" s="1"/>
      <c r="B24" s="107" t="s">
        <v>60</v>
      </c>
      <c r="C24" s="108"/>
      <c r="D24" s="109"/>
      <c r="E24" s="1"/>
    </row>
    <row r="25" spans="1:5" x14ac:dyDescent="0.25">
      <c r="A25" s="1"/>
      <c r="B25" s="37" t="s">
        <v>72</v>
      </c>
      <c r="C25" s="9"/>
      <c r="D25" s="14" t="s">
        <v>3</v>
      </c>
      <c r="E25" s="1"/>
    </row>
    <row r="26" spans="1:5" x14ac:dyDescent="0.25">
      <c r="A26" s="1"/>
      <c r="B26" s="37" t="s">
        <v>83</v>
      </c>
      <c r="C26" s="9"/>
      <c r="D26" s="14" t="s">
        <v>3</v>
      </c>
      <c r="E26" s="1"/>
    </row>
    <row r="27" spans="1:5" x14ac:dyDescent="0.25">
      <c r="A27" s="1"/>
      <c r="B27" s="37" t="s">
        <v>148</v>
      </c>
      <c r="C27" s="9"/>
      <c r="D27" s="14" t="s">
        <v>3</v>
      </c>
      <c r="E27" s="1"/>
    </row>
    <row r="28" spans="1:5" x14ac:dyDescent="0.25">
      <c r="A28" s="1"/>
      <c r="B28" s="34" t="s">
        <v>169</v>
      </c>
      <c r="C28" s="9"/>
      <c r="D28" s="36" t="s">
        <v>3</v>
      </c>
      <c r="E28" s="1"/>
    </row>
    <row r="29" spans="1:5" x14ac:dyDescent="0.25">
      <c r="A29" s="1"/>
      <c r="B29" s="107"/>
      <c r="C29" s="108"/>
      <c r="D29" s="109"/>
      <c r="E29" s="1"/>
    </row>
    <row r="30" spans="1:5" x14ac:dyDescent="0.25">
      <c r="A30" s="1"/>
      <c r="B30" s="1"/>
      <c r="C30" s="1"/>
      <c r="D30" s="1"/>
      <c r="E30" s="1"/>
    </row>
    <row r="31" spans="1:5" x14ac:dyDescent="0.25">
      <c r="A31" s="1"/>
      <c r="B31" s="1"/>
      <c r="C31" s="1"/>
      <c r="D31" s="1"/>
      <c r="E31" s="1"/>
    </row>
    <row r="32" spans="1:5" x14ac:dyDescent="0.25">
      <c r="A32" s="1"/>
      <c r="B32" s="107" t="s">
        <v>47</v>
      </c>
      <c r="C32" s="108"/>
      <c r="D32" s="109"/>
      <c r="E32" s="1"/>
    </row>
    <row r="33" spans="1:5" x14ac:dyDescent="0.25">
      <c r="A33" s="1"/>
      <c r="B33" s="37" t="s">
        <v>72</v>
      </c>
      <c r="C33" s="9"/>
      <c r="D33" s="14" t="s">
        <v>3</v>
      </c>
      <c r="E33" s="1"/>
    </row>
    <row r="34" spans="1:5" x14ac:dyDescent="0.25">
      <c r="A34" s="1"/>
      <c r="B34" s="37" t="s">
        <v>83</v>
      </c>
      <c r="C34" s="9"/>
      <c r="D34" s="14" t="s">
        <v>3</v>
      </c>
      <c r="E34" s="1"/>
    </row>
    <row r="35" spans="1:5" x14ac:dyDescent="0.25">
      <c r="A35" s="1"/>
      <c r="B35" s="37" t="s">
        <v>148</v>
      </c>
      <c r="C35" s="9"/>
      <c r="D35" s="14" t="s">
        <v>3</v>
      </c>
      <c r="E35" s="1"/>
    </row>
    <row r="36" spans="1:5" x14ac:dyDescent="0.25">
      <c r="A36" s="1"/>
      <c r="B36" s="34" t="s">
        <v>169</v>
      </c>
      <c r="C36" s="9"/>
      <c r="D36" s="36" t="s">
        <v>3</v>
      </c>
      <c r="E36" s="1"/>
    </row>
    <row r="37" spans="1:5" x14ac:dyDescent="0.25">
      <c r="A37" s="1"/>
      <c r="B37" s="107"/>
      <c r="C37" s="108"/>
      <c r="D37" s="109"/>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hidden="1" x14ac:dyDescent="0.25">
      <c r="A56" s="44"/>
      <c r="B56" s="44"/>
      <c r="C56" s="44"/>
      <c r="D56" s="44"/>
      <c r="E56" s="44"/>
    </row>
  </sheetData>
  <sheetProtection algorithmName="SHA-512" hashValue="XwArVX+k4C1miuMLc2m0KTPmP0PFeyygTZPott4+WkvHrKG2ahwnjJpNcuZiuoL0+BHYfcV2Zn4a/kaeolh4yg==" saltValue="ZT77Anl0AQOqCmOu/GKaiA=="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201</v>
      </c>
      <c r="C3" s="106"/>
      <c r="D3" s="106"/>
      <c r="E3" s="1"/>
    </row>
    <row r="4" spans="1:5" ht="15" customHeight="1" x14ac:dyDescent="0.25">
      <c r="A4" s="1"/>
      <c r="B4" s="106"/>
      <c r="C4" s="106"/>
      <c r="D4" s="106"/>
      <c r="E4" s="1"/>
    </row>
    <row r="5" spans="1:5" ht="15" customHeight="1" x14ac:dyDescent="0.25">
      <c r="A5" s="1"/>
      <c r="B5" s="106"/>
      <c r="C5" s="106"/>
      <c r="D5" s="106"/>
      <c r="E5" s="1"/>
    </row>
    <row r="6" spans="1:5" ht="15" customHeight="1" x14ac:dyDescent="0.25">
      <c r="A6" s="1"/>
      <c r="B6" s="74"/>
      <c r="C6" s="74"/>
      <c r="D6" s="74"/>
      <c r="E6" s="1"/>
    </row>
    <row r="7" spans="1:5" x14ac:dyDescent="0.25">
      <c r="A7" s="1"/>
      <c r="B7" s="1"/>
      <c r="C7" s="1"/>
      <c r="D7" s="1"/>
      <c r="E7" s="1"/>
    </row>
    <row r="8" spans="1:5" x14ac:dyDescent="0.25">
      <c r="A8" s="1"/>
      <c r="B8" s="107" t="s">
        <v>77</v>
      </c>
      <c r="C8" s="108"/>
      <c r="D8" s="109"/>
      <c r="E8" s="1"/>
    </row>
    <row r="9" spans="1:5" x14ac:dyDescent="0.25">
      <c r="A9" s="1"/>
      <c r="B9" s="65" t="s">
        <v>204</v>
      </c>
      <c r="C9" s="9">
        <v>3851584.862190187</v>
      </c>
      <c r="D9" s="14" t="s">
        <v>3</v>
      </c>
      <c r="E9" s="1"/>
    </row>
    <row r="10" spans="1:5" x14ac:dyDescent="0.25">
      <c r="A10" s="1"/>
      <c r="B10" s="33"/>
      <c r="C10" s="28"/>
      <c r="D10" s="19"/>
      <c r="E10" s="1"/>
    </row>
    <row r="11" spans="1:5" ht="53.25" customHeight="1" x14ac:dyDescent="0.25">
      <c r="A11" s="1"/>
      <c r="B11" s="118" t="s">
        <v>212</v>
      </c>
      <c r="C11" s="119"/>
      <c r="D11" s="120"/>
      <c r="E11" s="1"/>
    </row>
    <row r="12" spans="1:5" x14ac:dyDescent="0.25">
      <c r="A12" s="1"/>
      <c r="B12" s="1"/>
      <c r="C12" s="1"/>
      <c r="D12" s="1"/>
      <c r="E12" s="1"/>
    </row>
    <row r="13" spans="1:5" x14ac:dyDescent="0.25">
      <c r="A13" s="1"/>
      <c r="B13" s="107" t="s">
        <v>78</v>
      </c>
      <c r="C13" s="108"/>
      <c r="D13" s="109"/>
      <c r="E13" s="1"/>
    </row>
    <row r="14" spans="1:5" x14ac:dyDescent="0.25">
      <c r="A14" s="1"/>
      <c r="B14" s="65" t="s">
        <v>202</v>
      </c>
      <c r="C14" s="9">
        <v>-1339666</v>
      </c>
      <c r="D14" s="14" t="s">
        <v>3</v>
      </c>
      <c r="E14" s="1"/>
    </row>
    <row r="15" spans="1:5" x14ac:dyDescent="0.25">
      <c r="A15" s="1"/>
      <c r="B15" s="65" t="s">
        <v>203</v>
      </c>
      <c r="C15" s="9">
        <v>-1339666</v>
      </c>
      <c r="D15" s="14" t="s">
        <v>3</v>
      </c>
      <c r="E15" s="1"/>
    </row>
    <row r="16" spans="1:5" x14ac:dyDescent="0.25">
      <c r="A16" s="1"/>
      <c r="B16" s="33"/>
      <c r="C16" s="28"/>
      <c r="D16" s="19"/>
      <c r="E16" s="1"/>
    </row>
    <row r="17" spans="1:5" ht="29.25" customHeight="1" x14ac:dyDescent="0.25">
      <c r="A17" s="1"/>
      <c r="B17" s="118" t="s">
        <v>121</v>
      </c>
      <c r="C17" s="119"/>
      <c r="D17" s="120"/>
      <c r="E17" s="1"/>
    </row>
    <row r="18" spans="1:5" x14ac:dyDescent="0.25">
      <c r="A18" s="1"/>
      <c r="B18" s="1"/>
      <c r="C18" s="1"/>
      <c r="D18" s="1"/>
      <c r="E18" s="1"/>
    </row>
    <row r="19" spans="1:5" x14ac:dyDescent="0.25">
      <c r="A19" s="1"/>
      <c r="B19" s="75" t="s">
        <v>205</v>
      </c>
      <c r="C19" s="76"/>
      <c r="D19" s="77"/>
      <c r="E19" s="1"/>
    </row>
    <row r="20" spans="1:5" x14ac:dyDescent="0.25">
      <c r="A20" s="1"/>
      <c r="B20" s="65" t="s">
        <v>206</v>
      </c>
      <c r="C20" s="9">
        <v>137069033.51781592</v>
      </c>
      <c r="D20" s="14" t="s">
        <v>3</v>
      </c>
      <c r="E20" s="1"/>
    </row>
    <row r="21" spans="1:5" x14ac:dyDescent="0.25">
      <c r="A21" s="1"/>
      <c r="B21" s="65" t="s">
        <v>207</v>
      </c>
      <c r="C21" s="9">
        <v>129567671</v>
      </c>
      <c r="D21" s="14" t="s">
        <v>3</v>
      </c>
      <c r="E21" s="1"/>
    </row>
    <row r="22" spans="1:5" x14ac:dyDescent="0.25">
      <c r="A22" s="1"/>
      <c r="B22" s="65" t="s">
        <v>29</v>
      </c>
      <c r="C22" s="9">
        <v>0</v>
      </c>
      <c r="D22" s="14" t="s">
        <v>3</v>
      </c>
      <c r="E22" s="1"/>
    </row>
    <row r="23" spans="1:5" x14ac:dyDescent="0.25">
      <c r="A23" s="1"/>
      <c r="B23" s="81" t="s">
        <v>208</v>
      </c>
      <c r="C23" s="57">
        <f>C20-C21-C22</f>
        <v>7501362.5178159177</v>
      </c>
      <c r="D23" s="17" t="s">
        <v>3</v>
      </c>
      <c r="E23" s="1"/>
    </row>
    <row r="24" spans="1:5" x14ac:dyDescent="0.25">
      <c r="A24" s="1"/>
      <c r="B24" s="33"/>
      <c r="C24" s="28"/>
      <c r="D24" s="19"/>
      <c r="E24" s="1"/>
    </row>
    <row r="25" spans="1:5" x14ac:dyDescent="0.25">
      <c r="A25" s="1"/>
      <c r="B25" s="1"/>
      <c r="C25" s="1"/>
      <c r="D25" s="1"/>
      <c r="E25" s="1"/>
    </row>
    <row r="26" spans="1:5" x14ac:dyDescent="0.25">
      <c r="A26" s="1"/>
      <c r="B26" s="107" t="s">
        <v>209</v>
      </c>
      <c r="C26" s="108"/>
      <c r="D26" s="109"/>
      <c r="E26" s="1"/>
    </row>
    <row r="27" spans="1:5" x14ac:dyDescent="0.25">
      <c r="A27" s="1"/>
      <c r="B27" s="81" t="s">
        <v>210</v>
      </c>
      <c r="C27" s="57">
        <f>IF(AND(C15&lt;0,C23&gt;0,ABS(SUM(C14:C15))&lt;C23),ABS(C14),IF(AND(C15&lt;0,C23&gt;0,ABS(SUM(C14:C15))&gt;C23),SUM(C14,C23),C15))</f>
        <v>1339666</v>
      </c>
      <c r="D27" s="17" t="s">
        <v>3</v>
      </c>
      <c r="E27" s="1"/>
    </row>
    <row r="28" spans="1:5" x14ac:dyDescent="0.25">
      <c r="A28" s="1"/>
      <c r="B28" s="107"/>
      <c r="C28" s="108"/>
      <c r="D28" s="109"/>
      <c r="E28" s="1"/>
    </row>
    <row r="29" spans="1:5" x14ac:dyDescent="0.25">
      <c r="A29" s="1"/>
      <c r="B29" s="1"/>
      <c r="C29" s="1"/>
      <c r="D29" s="1"/>
      <c r="E29" s="1"/>
    </row>
    <row r="30" spans="1:5" x14ac:dyDescent="0.25">
      <c r="A30" s="1"/>
      <c r="B30" s="107" t="s">
        <v>211</v>
      </c>
      <c r="C30" s="108"/>
      <c r="D30" s="109"/>
      <c r="E30" s="1"/>
    </row>
    <row r="31" spans="1:5" x14ac:dyDescent="0.25">
      <c r="A31" s="1"/>
      <c r="B31" s="66" t="s">
        <v>69</v>
      </c>
      <c r="C31" s="58">
        <f>IF(AND(C9&gt;0,(C9+C23)&gt;0),0,IF(AND(C9&gt;0,(C9+C23)&lt;0),(C9+C23),IF(AND(C9&lt;0,C23&lt;0),C23,0)))</f>
        <v>0</v>
      </c>
      <c r="D31" s="14" t="s">
        <v>3</v>
      </c>
      <c r="E31" s="1"/>
    </row>
    <row r="32" spans="1:5" x14ac:dyDescent="0.25">
      <c r="A32" s="1"/>
      <c r="B32" s="66" t="s">
        <v>49</v>
      </c>
      <c r="C32" s="9">
        <v>2</v>
      </c>
      <c r="D32" s="14" t="s">
        <v>20</v>
      </c>
      <c r="E32" s="1"/>
    </row>
    <row r="33" spans="1:5" x14ac:dyDescent="0.25">
      <c r="A33" s="1"/>
      <c r="B33" s="67" t="s">
        <v>70</v>
      </c>
      <c r="C33" s="57">
        <f>C31/C32</f>
        <v>0</v>
      </c>
      <c r="D33" s="17" t="s">
        <v>3</v>
      </c>
      <c r="E33" s="1"/>
    </row>
    <row r="34" spans="1:5" x14ac:dyDescent="0.25">
      <c r="A34" s="1"/>
      <c r="B34" s="115"/>
      <c r="C34" s="116"/>
      <c r="D34" s="117"/>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OffnKBuKouCYgs4TvA6lHz6O7wyh7fCvNS2ueoaa+YhyNR3ZOrSrBrfQhn1TCT9VCstaum6AtG/4Z/uIAQucrg==" saltValue="iYUROfO0UZafHEmhN6rmew=="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06" t="s">
        <v>101</v>
      </c>
      <c r="C3" s="106"/>
      <c r="D3" s="106"/>
      <c r="E3" s="1"/>
    </row>
    <row r="4" spans="1:5" ht="15" customHeight="1" x14ac:dyDescent="0.25">
      <c r="A4" s="1"/>
      <c r="B4" s="106"/>
      <c r="C4" s="106"/>
      <c r="D4" s="106"/>
      <c r="E4" s="1"/>
    </row>
    <row r="5" spans="1:5" x14ac:dyDescent="0.25">
      <c r="A5" s="1"/>
      <c r="B5" s="106"/>
      <c r="C5" s="106"/>
      <c r="D5" s="106"/>
      <c r="E5" s="1"/>
    </row>
    <row r="6" spans="1:5" x14ac:dyDescent="0.25">
      <c r="A6" s="1"/>
      <c r="B6" s="1"/>
      <c r="C6" s="1"/>
      <c r="D6" s="1"/>
      <c r="E6" s="1"/>
    </row>
    <row r="7" spans="1:5" x14ac:dyDescent="0.25">
      <c r="A7" s="1"/>
      <c r="B7" s="1"/>
      <c r="C7" s="1"/>
      <c r="D7" s="1"/>
      <c r="E7" s="1"/>
    </row>
    <row r="8" spans="1:5" x14ac:dyDescent="0.25">
      <c r="A8" s="1"/>
      <c r="B8" s="107" t="s">
        <v>120</v>
      </c>
      <c r="C8" s="108"/>
      <c r="D8" s="109"/>
      <c r="E8" s="1"/>
    </row>
    <row r="9" spans="1:5" ht="15" customHeight="1" x14ac:dyDescent="0.25">
      <c r="A9" s="1"/>
      <c r="B9" s="121" t="s">
        <v>102</v>
      </c>
      <c r="C9" s="122"/>
      <c r="D9" s="123"/>
      <c r="E9" s="1"/>
    </row>
    <row r="10" spans="1:5" x14ac:dyDescent="0.25">
      <c r="A10" s="1"/>
      <c r="B10" s="68" t="s">
        <v>103</v>
      </c>
      <c r="C10" s="9"/>
      <c r="D10" s="9" t="s">
        <v>3</v>
      </c>
      <c r="E10" s="1"/>
    </row>
    <row r="11" spans="1:5" x14ac:dyDescent="0.25">
      <c r="A11" s="1"/>
      <c r="B11" s="68" t="s">
        <v>104</v>
      </c>
      <c r="C11" s="9"/>
      <c r="D11" s="9" t="s">
        <v>3</v>
      </c>
      <c r="E11" s="1"/>
    </row>
    <row r="12" spans="1:5" x14ac:dyDescent="0.25">
      <c r="A12" s="1"/>
      <c r="B12" s="68" t="s">
        <v>105</v>
      </c>
      <c r="C12" s="9"/>
      <c r="D12" s="9" t="s">
        <v>3</v>
      </c>
      <c r="E12" s="1"/>
    </row>
    <row r="13" spans="1:5" x14ac:dyDescent="0.25">
      <c r="A13" s="1"/>
      <c r="B13" s="68" t="s">
        <v>106</v>
      </c>
      <c r="C13" s="9"/>
      <c r="D13" s="9" t="s">
        <v>3</v>
      </c>
      <c r="E13" s="1"/>
    </row>
    <row r="14" spans="1:5" x14ac:dyDescent="0.25">
      <c r="A14" s="1"/>
      <c r="B14" s="68" t="s">
        <v>107</v>
      </c>
      <c r="C14" s="9"/>
      <c r="D14" s="9" t="s">
        <v>3</v>
      </c>
      <c r="E14" s="1"/>
    </row>
    <row r="15" spans="1:5" x14ac:dyDescent="0.25">
      <c r="A15" s="1"/>
      <c r="B15" s="68" t="s">
        <v>108</v>
      </c>
      <c r="C15" s="9"/>
      <c r="D15" s="9" t="s">
        <v>3</v>
      </c>
      <c r="E15" s="1"/>
    </row>
    <row r="16" spans="1:5" x14ac:dyDescent="0.25">
      <c r="A16" s="1"/>
      <c r="B16" s="68" t="s">
        <v>109</v>
      </c>
      <c r="C16" s="9"/>
      <c r="D16" s="9" t="s">
        <v>3</v>
      </c>
      <c r="E16" s="1"/>
    </row>
    <row r="17" spans="1:5" x14ac:dyDescent="0.25">
      <c r="A17" s="1"/>
      <c r="B17" s="68" t="s">
        <v>110</v>
      </c>
      <c r="C17" s="9"/>
      <c r="D17" s="9" t="s">
        <v>3</v>
      </c>
      <c r="E17" s="1"/>
    </row>
    <row r="18" spans="1:5" x14ac:dyDescent="0.25">
      <c r="A18" s="1"/>
      <c r="B18" s="75" t="s">
        <v>111</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JEx2jtourY36t+iDt2cSZdunTcXA3lgV6HA8Tuh5hLPl7rP9t4HxWWnema5pJTw//X4rMLMvAa5PZ1+LJxsaqA==" saltValue="sPypX5A1IFFnF2NzvJKfMQ=="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170</v>
      </c>
      <c r="C3" s="106"/>
      <c r="D3" s="106"/>
      <c r="E3" s="1"/>
    </row>
    <row r="4" spans="1:5" ht="15" customHeight="1" x14ac:dyDescent="0.25">
      <c r="A4" s="1"/>
      <c r="B4" s="106"/>
      <c r="C4" s="106"/>
      <c r="D4" s="106"/>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07" t="s">
        <v>171</v>
      </c>
      <c r="C8" s="108"/>
      <c r="D8" s="109"/>
      <c r="E8" s="1"/>
    </row>
    <row r="9" spans="1:5" ht="26.25" x14ac:dyDescent="0.25">
      <c r="A9" s="1"/>
      <c r="B9" s="78" t="s">
        <v>217</v>
      </c>
      <c r="C9" s="7"/>
      <c r="D9" s="8" t="s">
        <v>3</v>
      </c>
      <c r="E9" s="1"/>
    </row>
    <row r="10" spans="1:5" ht="14.25" customHeight="1" x14ac:dyDescent="0.25">
      <c r="A10" s="1"/>
      <c r="B10" s="65" t="s">
        <v>172</v>
      </c>
      <c r="C10" s="7"/>
      <c r="D10" s="8" t="s">
        <v>3</v>
      </c>
      <c r="E10" s="1"/>
    </row>
    <row r="11" spans="1:5" ht="14.25" customHeight="1" x14ac:dyDescent="0.25">
      <c r="A11" s="1"/>
      <c r="B11" s="81" t="s">
        <v>48</v>
      </c>
      <c r="C11" s="10">
        <f>C10-C9</f>
        <v>0</v>
      </c>
      <c r="D11" s="11" t="s">
        <v>3</v>
      </c>
      <c r="E11" s="1"/>
    </row>
    <row r="12" spans="1:5" ht="14.25" customHeight="1" x14ac:dyDescent="0.25">
      <c r="A12" s="1"/>
      <c r="B12" s="107" t="s">
        <v>219</v>
      </c>
      <c r="C12" s="108"/>
      <c r="D12" s="109"/>
      <c r="E12" s="1"/>
    </row>
    <row r="13" spans="1:5" ht="26.25" x14ac:dyDescent="0.25">
      <c r="A13" s="1"/>
      <c r="B13" s="78" t="s">
        <v>218</v>
      </c>
      <c r="C13" s="7"/>
      <c r="D13" s="8" t="s">
        <v>3</v>
      </c>
      <c r="E13" s="1"/>
    </row>
    <row r="14" spans="1:5" ht="14.25" customHeight="1" x14ac:dyDescent="0.25">
      <c r="A14" s="1"/>
      <c r="B14" s="65" t="s">
        <v>173</v>
      </c>
      <c r="C14" s="7"/>
      <c r="D14" s="8" t="s">
        <v>3</v>
      </c>
      <c r="E14" s="1"/>
    </row>
    <row r="15" spans="1:5" ht="14.25" customHeight="1" x14ac:dyDescent="0.25">
      <c r="A15" s="1"/>
      <c r="B15" s="81" t="s">
        <v>48</v>
      </c>
      <c r="C15" s="10">
        <f>C14-C13</f>
        <v>0</v>
      </c>
      <c r="D15" s="11" t="s">
        <v>3</v>
      </c>
      <c r="E15" s="1"/>
    </row>
    <row r="16" spans="1:5" ht="14.25" customHeight="1" x14ac:dyDescent="0.25">
      <c r="A16" s="1"/>
      <c r="B16" s="33" t="s">
        <v>174</v>
      </c>
      <c r="C16" s="12">
        <f>C11+C15</f>
        <v>0</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qqhE42DSbQHaeuB/+Q7wE5vGPW/ecHXiIHtWwdTAA/sqwaNnH7pyMtj+wZBi1NMGD7GyalyvsPTg3h4SGliPUg==" saltValue="UqcI2Nz8/NCHy0ZrNgd7Kw=="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3" t="s">
        <v>113</v>
      </c>
      <c r="C3" s="103"/>
      <c r="D3" s="103"/>
      <c r="E3" s="103"/>
      <c r="F3" s="103"/>
      <c r="G3" s="103"/>
      <c r="H3" s="103"/>
      <c r="I3" s="103"/>
      <c r="J3" s="103"/>
      <c r="K3" s="103"/>
      <c r="L3" s="1"/>
    </row>
    <row r="4" spans="1:12" ht="15" customHeight="1" x14ac:dyDescent="0.25">
      <c r="A4" s="1"/>
      <c r="B4" s="103"/>
      <c r="C4" s="103"/>
      <c r="D4" s="103"/>
      <c r="E4" s="103"/>
      <c r="F4" s="103"/>
      <c r="G4" s="103"/>
      <c r="H4" s="103"/>
      <c r="I4" s="103"/>
      <c r="J4" s="103"/>
      <c r="K4" s="103"/>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7" t="s">
        <v>86</v>
      </c>
      <c r="C8" s="108"/>
      <c r="D8" s="108"/>
      <c r="E8" s="108"/>
      <c r="F8" s="108"/>
      <c r="G8" s="108"/>
      <c r="H8" s="108"/>
      <c r="I8" s="108"/>
      <c r="J8" s="108"/>
      <c r="K8" s="109"/>
      <c r="L8" s="1"/>
    </row>
    <row r="9" spans="1:12" ht="39.75" customHeight="1" x14ac:dyDescent="0.25">
      <c r="A9" s="1"/>
      <c r="B9" s="18" t="s">
        <v>0</v>
      </c>
      <c r="C9" s="18" t="s">
        <v>1</v>
      </c>
      <c r="D9" s="124" t="s">
        <v>96</v>
      </c>
      <c r="E9" s="125"/>
      <c r="F9" s="124" t="s">
        <v>2</v>
      </c>
      <c r="G9" s="125"/>
      <c r="H9" s="124" t="s">
        <v>95</v>
      </c>
      <c r="I9" s="125"/>
      <c r="J9" s="124" t="s">
        <v>26</v>
      </c>
      <c r="K9" s="125"/>
      <c r="L9" s="1"/>
    </row>
    <row r="10" spans="1:12" x14ac:dyDescent="0.25">
      <c r="A10" s="1"/>
      <c r="B10" s="68" t="s">
        <v>224</v>
      </c>
      <c r="C10" s="42">
        <v>0</v>
      </c>
      <c r="D10" s="9">
        <v>0</v>
      </c>
      <c r="E10" s="14" t="s">
        <v>3</v>
      </c>
      <c r="F10" s="9">
        <f>IFERROR(D10/C10,0)</f>
        <v>0</v>
      </c>
      <c r="G10" s="14" t="s">
        <v>3</v>
      </c>
      <c r="H10" s="38">
        <v>0</v>
      </c>
      <c r="I10" s="14" t="s">
        <v>3</v>
      </c>
      <c r="J10" s="38">
        <v>0</v>
      </c>
      <c r="K10" s="14" t="s">
        <v>3</v>
      </c>
      <c r="L10" s="1"/>
    </row>
    <row r="11" spans="1:12" x14ac:dyDescent="0.25">
      <c r="A11" s="1"/>
      <c r="B11" s="75" t="s">
        <v>221</v>
      </c>
      <c r="C11" s="76"/>
      <c r="D11" s="77"/>
      <c r="E11" s="77"/>
      <c r="F11" s="12">
        <f>SUM(F10:F10)</f>
        <v>0</v>
      </c>
      <c r="G11" s="12" t="s">
        <v>94</v>
      </c>
      <c r="H11" s="12">
        <f>SUM(H10:H10)</f>
        <v>0</v>
      </c>
      <c r="I11" s="12" t="s">
        <v>94</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4"/>
      <c r="B47" s="44"/>
      <c r="C47" s="44"/>
      <c r="D47" s="44"/>
      <c r="E47" s="44"/>
      <c r="F47" s="44"/>
      <c r="G47" s="44"/>
      <c r="H47" s="44"/>
      <c r="I47" s="44"/>
      <c r="J47" s="44"/>
      <c r="K47" s="44"/>
      <c r="L47" s="44"/>
    </row>
    <row r="48" spans="1:12" hidden="1" x14ac:dyDescent="0.25">
      <c r="A48" s="44"/>
      <c r="B48" s="44"/>
      <c r="C48" s="44"/>
      <c r="D48" s="44"/>
      <c r="E48" s="44"/>
      <c r="F48" s="44"/>
      <c r="G48" s="44"/>
      <c r="H48" s="44"/>
      <c r="I48" s="44"/>
      <c r="J48" s="44"/>
      <c r="K48" s="44"/>
      <c r="L48" s="44"/>
    </row>
    <row r="49" hidden="1" x14ac:dyDescent="0.25"/>
    <row r="50" hidden="1" x14ac:dyDescent="0.25"/>
    <row r="51" hidden="1" x14ac:dyDescent="0.25"/>
    <row r="52" hidden="1" x14ac:dyDescent="0.25"/>
  </sheetData>
  <sheetProtection algorithmName="SHA-512" hashValue="pGsn2qT4ESNwjyv8Xlr3vhL7Bjbj0ACw2qKr8lISLa6yc8JyEL7Y+u72fqGgSUpCDwMk+uxJDwxtSyV4ZFzwww==" saltValue="3t6I2tYtjO0akuPTXRSUl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3" t="s">
        <v>114</v>
      </c>
      <c r="C3" s="103"/>
      <c r="D3" s="103"/>
      <c r="E3" s="103"/>
      <c r="F3" s="103"/>
      <c r="G3" s="1"/>
    </row>
    <row r="4" spans="1:7" ht="15" customHeight="1" x14ac:dyDescent="0.25">
      <c r="A4" s="1"/>
      <c r="B4" s="103"/>
      <c r="C4" s="103"/>
      <c r="D4" s="103"/>
      <c r="E4" s="103"/>
      <c r="F4" s="10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79" t="s">
        <v>17</v>
      </c>
      <c r="C9" s="81" t="s">
        <v>11</v>
      </c>
      <c r="D9" s="80"/>
      <c r="E9" s="81" t="s">
        <v>27</v>
      </c>
      <c r="F9" s="32"/>
      <c r="G9" s="1"/>
    </row>
    <row r="10" spans="1:7" x14ac:dyDescent="0.25">
      <c r="A10" s="1"/>
      <c r="B10" s="24" t="s">
        <v>87</v>
      </c>
      <c r="C10" s="21">
        <f>'Fane 10. Anlægsprojekter (§ 19)'!H11</f>
        <v>0</v>
      </c>
      <c r="D10" s="14" t="s">
        <v>3</v>
      </c>
      <c r="E10" s="9">
        <f>'Fane 10. Anlægsprojekter (§ 19)'!F11+'Fane 10. Anlægsprojekter (§ 19)'!J11</f>
        <v>0</v>
      </c>
      <c r="F10" s="14" t="s">
        <v>3</v>
      </c>
      <c r="G10" s="1"/>
    </row>
    <row r="11" spans="1:7" x14ac:dyDescent="0.25">
      <c r="A11" s="1"/>
      <c r="B11" s="24" t="s">
        <v>230</v>
      </c>
      <c r="C11" s="21">
        <v>643837</v>
      </c>
      <c r="D11" s="14" t="s">
        <v>3</v>
      </c>
      <c r="E11" s="9">
        <v>788773</v>
      </c>
      <c r="F11" s="14" t="s">
        <v>3</v>
      </c>
      <c r="G11" s="1"/>
    </row>
    <row r="12" spans="1:7" x14ac:dyDescent="0.25">
      <c r="A12" s="1"/>
      <c r="B12" s="24"/>
      <c r="C12" s="21"/>
      <c r="D12" s="14" t="s">
        <v>3</v>
      </c>
      <c r="E12" s="9"/>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33" t="s">
        <v>139</v>
      </c>
      <c r="C18" s="12">
        <f>SUM(C10:C17)</f>
        <v>643837</v>
      </c>
      <c r="D18" s="13" t="s">
        <v>3</v>
      </c>
      <c r="E18" s="12">
        <f>SUM(E10:E17)</f>
        <v>788773</v>
      </c>
      <c r="F18" s="13" t="s">
        <v>3</v>
      </c>
      <c r="G18" s="1"/>
    </row>
    <row r="19" spans="1:7" x14ac:dyDescent="0.25">
      <c r="A19" s="1"/>
      <c r="B19" s="33" t="s">
        <v>175</v>
      </c>
      <c r="C19" s="12">
        <f>C18*(1+'Fane 15. Nøgletal'!C10)</f>
        <v>686523.39309999999</v>
      </c>
      <c r="D19" s="13" t="s">
        <v>3</v>
      </c>
      <c r="E19" s="12">
        <f>E18*(1+'Fane 15. Nøgletal'!C10)</f>
        <v>841068.64990000008</v>
      </c>
      <c r="F19" s="13" t="s">
        <v>3</v>
      </c>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x14ac:dyDescent="0.25"/>
  </sheetData>
  <sheetProtection algorithmName="SHA-512" hashValue="VJJEaN22pAIyUNkshAIPw3tMsliagIu7HC3IxlvTT3H+SUkb8xaoeDXrhfrQUL5Zrrw6PUPmZagkA1/FD8Qx0A==" saltValue="t6z+eqEHtIw+9/t5hcGmwg=="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3" t="s">
        <v>115</v>
      </c>
      <c r="C3" s="103"/>
      <c r="D3" s="103"/>
      <c r="E3" s="103"/>
      <c r="F3" s="103"/>
      <c r="G3" s="1"/>
    </row>
    <row r="4" spans="1:7" ht="15" customHeight="1" x14ac:dyDescent="0.25">
      <c r="A4" s="1"/>
      <c r="B4" s="103"/>
      <c r="C4" s="103"/>
      <c r="D4" s="103"/>
      <c r="E4" s="103"/>
      <c r="F4" s="10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7" t="s">
        <v>176</v>
      </c>
      <c r="C8" s="108"/>
      <c r="D8" s="108"/>
      <c r="E8" s="108"/>
      <c r="F8" s="109"/>
      <c r="G8" s="1"/>
    </row>
    <row r="9" spans="1:7" x14ac:dyDescent="0.25">
      <c r="A9" s="1"/>
      <c r="B9" s="79" t="s">
        <v>17</v>
      </c>
      <c r="C9" s="81" t="s">
        <v>11</v>
      </c>
      <c r="D9" s="80"/>
      <c r="E9" s="81" t="s">
        <v>27</v>
      </c>
      <c r="F9" s="32"/>
      <c r="G9" s="1"/>
    </row>
    <row r="10" spans="1:7" x14ac:dyDescent="0.25">
      <c r="A10" s="1"/>
      <c r="B10" s="24" t="s">
        <v>229</v>
      </c>
      <c r="C10" s="21">
        <v>2714016</v>
      </c>
      <c r="D10" s="14" t="s">
        <v>3</v>
      </c>
      <c r="E10" s="9">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177</v>
      </c>
      <c r="C13" s="12">
        <f>SUM(C10:C12)</f>
        <v>2714016</v>
      </c>
      <c r="D13" s="13" t="s">
        <v>3</v>
      </c>
      <c r="E13" s="12">
        <f>SUM(E10:E12)</f>
        <v>0</v>
      </c>
      <c r="F13" s="13" t="s">
        <v>3</v>
      </c>
      <c r="G13" s="1"/>
    </row>
    <row r="14" spans="1:7" x14ac:dyDescent="0.25">
      <c r="A14" s="1"/>
      <c r="B14" s="33" t="s">
        <v>178</v>
      </c>
      <c r="C14" s="12">
        <f>C13*(1+'Fane 15. Nøgletal'!C10)^2</f>
        <v>3085824.4945910401</v>
      </c>
      <c r="D14" s="13" t="s">
        <v>3</v>
      </c>
      <c r="E14" s="12">
        <f>E13*(1+'Fane 15. Nøgletal'!C10)^2</f>
        <v>0</v>
      </c>
      <c r="F14" s="13" t="s">
        <v>3</v>
      </c>
      <c r="G14" s="1"/>
    </row>
    <row r="15" spans="1:7" x14ac:dyDescent="0.25">
      <c r="A15" s="1"/>
      <c r="B15" s="1"/>
      <c r="C15" s="1"/>
      <c r="D15" s="1"/>
      <c r="E15" s="1"/>
      <c r="F15" s="1"/>
      <c r="G15" s="1"/>
    </row>
    <row r="16" spans="1:7" x14ac:dyDescent="0.25">
      <c r="A16" s="1"/>
      <c r="B16" s="126"/>
      <c r="C16" s="126"/>
      <c r="D16" s="126"/>
      <c r="E16" s="126"/>
      <c r="F16" s="126"/>
      <c r="G16" s="1"/>
    </row>
    <row r="17" spans="1:7" x14ac:dyDescent="0.25">
      <c r="A17" s="1"/>
      <c r="B17" s="47"/>
      <c r="C17" s="47"/>
      <c r="D17" s="47"/>
      <c r="E17" s="47"/>
      <c r="F17" s="48"/>
      <c r="G17" s="1"/>
    </row>
    <row r="18" spans="1:7" x14ac:dyDescent="0.25">
      <c r="A18" s="1"/>
      <c r="B18" s="49"/>
      <c r="C18" s="50"/>
      <c r="D18" s="51"/>
      <c r="E18" s="52"/>
      <c r="F18" s="51"/>
      <c r="G18" s="1"/>
    </row>
    <row r="19" spans="1:7" x14ac:dyDescent="0.25">
      <c r="A19" s="1"/>
      <c r="B19" s="49"/>
      <c r="C19" s="50"/>
      <c r="D19" s="51"/>
      <c r="E19" s="52"/>
      <c r="F19" s="51"/>
      <c r="G19" s="1"/>
    </row>
    <row r="20" spans="1:7" x14ac:dyDescent="0.25">
      <c r="A20" s="1"/>
      <c r="B20" s="53"/>
      <c r="C20" s="54"/>
      <c r="D20" s="55"/>
      <c r="E20" s="54"/>
      <c r="F20" s="55"/>
      <c r="G20" s="1"/>
    </row>
    <row r="21" spans="1:7" x14ac:dyDescent="0.25">
      <c r="A21" s="1"/>
      <c r="B21" s="53"/>
      <c r="C21" s="54"/>
      <c r="D21" s="55"/>
      <c r="E21" s="54"/>
      <c r="F21" s="55"/>
      <c r="G21" s="1"/>
    </row>
    <row r="22" spans="1:7" x14ac:dyDescent="0.25">
      <c r="A22" s="1"/>
      <c r="B22" s="46"/>
      <c r="C22" s="46"/>
      <c r="D22" s="46"/>
      <c r="E22" s="46"/>
      <c r="F22" s="46"/>
      <c r="G22" s="1"/>
    </row>
    <row r="23" spans="1:7" x14ac:dyDescent="0.25">
      <c r="A23" s="1"/>
      <c r="B23" s="47"/>
      <c r="C23" s="47"/>
      <c r="D23" s="47"/>
      <c r="E23" s="47"/>
      <c r="F23" s="48"/>
      <c r="G23" s="1"/>
    </row>
    <row r="24" spans="1:7" x14ac:dyDescent="0.25">
      <c r="A24" s="1"/>
      <c r="B24" s="49"/>
      <c r="C24" s="50"/>
      <c r="D24" s="51"/>
      <c r="E24" s="52"/>
      <c r="F24" s="51"/>
      <c r="G24" s="1"/>
    </row>
    <row r="25" spans="1:7" x14ac:dyDescent="0.25">
      <c r="A25" s="1"/>
      <c r="B25" s="49"/>
      <c r="C25" s="50"/>
      <c r="D25" s="51"/>
      <c r="E25" s="52"/>
      <c r="F25" s="51"/>
      <c r="G25" s="1"/>
    </row>
    <row r="26" spans="1:7" x14ac:dyDescent="0.25">
      <c r="A26" s="1"/>
      <c r="B26" s="53"/>
      <c r="C26" s="54"/>
      <c r="D26" s="55"/>
      <c r="E26" s="54"/>
      <c r="F26" s="55"/>
      <c r="G26" s="1"/>
    </row>
    <row r="27" spans="1:7" x14ac:dyDescent="0.25">
      <c r="A27" s="1"/>
      <c r="B27" s="53"/>
      <c r="C27" s="54"/>
      <c r="D27" s="55"/>
      <c r="E27" s="54"/>
      <c r="F27" s="55"/>
      <c r="G27" s="1"/>
    </row>
    <row r="28" spans="1:7" x14ac:dyDescent="0.25">
      <c r="A28" s="1"/>
      <c r="B28" s="46"/>
      <c r="C28" s="46"/>
      <c r="D28" s="46"/>
      <c r="E28" s="46"/>
      <c r="F28" s="46"/>
      <c r="G28" s="1"/>
    </row>
    <row r="29" spans="1:7" x14ac:dyDescent="0.25">
      <c r="A29" s="1"/>
      <c r="B29" s="126"/>
      <c r="C29" s="126"/>
      <c r="D29" s="126"/>
      <c r="E29" s="126"/>
      <c r="F29" s="126"/>
      <c r="G29" s="1"/>
    </row>
    <row r="30" spans="1:7" x14ac:dyDescent="0.25">
      <c r="A30" s="1"/>
      <c r="B30" s="47"/>
      <c r="C30" s="47"/>
      <c r="D30" s="47"/>
      <c r="E30" s="47"/>
      <c r="F30" s="48"/>
      <c r="G30" s="1"/>
    </row>
    <row r="31" spans="1:7" x14ac:dyDescent="0.25">
      <c r="A31" s="1"/>
      <c r="B31" s="49"/>
      <c r="C31" s="50"/>
      <c r="D31" s="51"/>
      <c r="E31" s="52"/>
      <c r="F31" s="51"/>
      <c r="G31" s="1"/>
    </row>
    <row r="32" spans="1:7" x14ac:dyDescent="0.25">
      <c r="A32" s="1"/>
      <c r="B32" s="49"/>
      <c r="C32" s="50"/>
      <c r="D32" s="51"/>
      <c r="E32" s="52"/>
      <c r="F32" s="51"/>
      <c r="G32" s="1"/>
    </row>
    <row r="33" spans="1:7" x14ac:dyDescent="0.25">
      <c r="A33" s="1"/>
      <c r="B33" s="53"/>
      <c r="C33" s="54"/>
      <c r="D33" s="55"/>
      <c r="E33" s="54"/>
      <c r="F33" s="55"/>
      <c r="G33" s="1"/>
    </row>
    <row r="34" spans="1:7" x14ac:dyDescent="0.25">
      <c r="A34" s="1"/>
      <c r="B34" s="53"/>
      <c r="C34" s="54"/>
      <c r="D34" s="55"/>
      <c r="E34" s="54"/>
      <c r="F34" s="5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84scZE3fNHco5qoCWSPRn4xxJF3+jLPX492VFuvU7sMYKF2fJtlUzqf25ihF88/lHacVLSe3Hpe5If4yc1yBtg==" saltValue="wRgubYxwj0ix3L4RDzKHEQ=="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116</v>
      </c>
      <c r="C3" s="106"/>
      <c r="D3" s="106"/>
      <c r="E3" s="1"/>
    </row>
    <row r="4" spans="1:5" ht="15" customHeight="1" x14ac:dyDescent="0.25">
      <c r="A4" s="1"/>
      <c r="B4" s="106"/>
      <c r="C4" s="106"/>
      <c r="D4" s="106"/>
      <c r="E4" s="1"/>
    </row>
    <row r="5" spans="1:5" x14ac:dyDescent="0.25">
      <c r="A5" s="1"/>
      <c r="B5" s="106"/>
      <c r="C5" s="106"/>
      <c r="D5" s="106"/>
      <c r="E5" s="1"/>
    </row>
    <row r="6" spans="1:5" x14ac:dyDescent="0.25">
      <c r="A6" s="1"/>
      <c r="B6" s="1"/>
      <c r="C6" s="1"/>
      <c r="D6" s="1"/>
      <c r="E6" s="1"/>
    </row>
    <row r="7" spans="1:5" x14ac:dyDescent="0.25">
      <c r="A7" s="1"/>
      <c r="B7" s="1"/>
      <c r="C7" s="1"/>
      <c r="D7" s="1"/>
      <c r="E7" s="1"/>
    </row>
    <row r="8" spans="1:5" ht="14.25" customHeight="1" x14ac:dyDescent="0.25">
      <c r="A8" s="1"/>
      <c r="B8" s="107" t="s">
        <v>73</v>
      </c>
      <c r="C8" s="108"/>
      <c r="D8" s="109"/>
      <c r="E8" s="1"/>
    </row>
    <row r="9" spans="1:5" x14ac:dyDescent="0.25">
      <c r="A9" s="1"/>
      <c r="B9" s="68" t="s">
        <v>179</v>
      </c>
      <c r="C9" s="9"/>
      <c r="D9" s="14" t="s">
        <v>3</v>
      </c>
      <c r="E9" s="1"/>
    </row>
    <row r="10" spans="1:5" x14ac:dyDescent="0.25">
      <c r="A10" s="1"/>
      <c r="B10" s="64" t="s">
        <v>10</v>
      </c>
      <c r="C10" s="9">
        <f>-C9*'Fane 5. Individuelt eff. krav'!C9</f>
        <v>0</v>
      </c>
      <c r="D10" s="14" t="s">
        <v>3</v>
      </c>
      <c r="E10" s="1"/>
    </row>
    <row r="11" spans="1:5" x14ac:dyDescent="0.25">
      <c r="A11" s="1"/>
      <c r="B11" s="64" t="s">
        <v>22</v>
      </c>
      <c r="C11" s="9">
        <f>-C9*'Fane 15. Nøgletal'!C21</f>
        <v>0</v>
      </c>
      <c r="D11" s="14" t="s">
        <v>3</v>
      </c>
      <c r="E11" s="1"/>
    </row>
    <row r="12" spans="1:5" x14ac:dyDescent="0.25">
      <c r="A12" s="1"/>
      <c r="B12" s="75" t="s">
        <v>74</v>
      </c>
      <c r="C12" s="12">
        <f>SUM(C9:C11)*(1+'Fane 15. Nøgletal'!C9)^2</f>
        <v>0</v>
      </c>
      <c r="D12" s="13" t="s">
        <v>3</v>
      </c>
      <c r="E12" s="1"/>
    </row>
    <row r="13" spans="1:5" x14ac:dyDescent="0.25">
      <c r="A13" s="1"/>
      <c r="B13" s="1"/>
      <c r="C13" s="1"/>
      <c r="D13" s="1"/>
      <c r="E13" s="1"/>
    </row>
    <row r="14" spans="1:5" ht="15" customHeight="1" x14ac:dyDescent="0.25">
      <c r="A14" s="1"/>
      <c r="B14" s="107" t="s">
        <v>84</v>
      </c>
      <c r="C14" s="108"/>
      <c r="D14" s="109"/>
      <c r="E14" s="1"/>
    </row>
    <row r="15" spans="1:5" x14ac:dyDescent="0.25">
      <c r="A15" s="1"/>
      <c r="B15" s="68" t="s">
        <v>179</v>
      </c>
      <c r="C15" s="9"/>
      <c r="D15" s="14" t="s">
        <v>3</v>
      </c>
      <c r="E15" s="1"/>
    </row>
    <row r="16" spans="1:5" x14ac:dyDescent="0.25">
      <c r="A16" s="1"/>
      <c r="B16" s="64" t="s">
        <v>10</v>
      </c>
      <c r="C16" s="9">
        <f>-C15*'Fane 5. Individuelt eff. krav'!C9</f>
        <v>0</v>
      </c>
      <c r="D16" s="14" t="s">
        <v>3</v>
      </c>
      <c r="E16" s="1"/>
    </row>
    <row r="17" spans="1:5" x14ac:dyDescent="0.25">
      <c r="A17" s="1"/>
      <c r="B17" s="64" t="s">
        <v>22</v>
      </c>
      <c r="C17" s="9">
        <f>-C15*'Fane 15. Nøgletal'!C21</f>
        <v>0</v>
      </c>
      <c r="D17" s="14" t="s">
        <v>3</v>
      </c>
      <c r="E17" s="1"/>
    </row>
    <row r="18" spans="1:5" x14ac:dyDescent="0.25">
      <c r="A18" s="1"/>
      <c r="B18" s="75" t="s">
        <v>85</v>
      </c>
      <c r="C18" s="12">
        <f>SUM(C15:C17)*(1+'Fane 15. Nøgletal'!C10)^3</f>
        <v>0</v>
      </c>
      <c r="D18" s="13" t="s">
        <v>3</v>
      </c>
      <c r="E18" s="1"/>
    </row>
    <row r="19" spans="1:5" x14ac:dyDescent="0.25">
      <c r="A19" s="1"/>
      <c r="B19" s="1"/>
      <c r="C19" s="1"/>
      <c r="D19" s="1"/>
      <c r="E19" s="1"/>
    </row>
    <row r="20" spans="1:5" ht="15" customHeight="1" x14ac:dyDescent="0.25">
      <c r="A20" s="1"/>
      <c r="B20" s="107" t="s">
        <v>140</v>
      </c>
      <c r="C20" s="108"/>
      <c r="D20" s="109"/>
      <c r="E20" s="1"/>
    </row>
    <row r="21" spans="1:5" x14ac:dyDescent="0.25">
      <c r="A21" s="1"/>
      <c r="B21" s="68" t="s">
        <v>179</v>
      </c>
      <c r="C21" s="9"/>
      <c r="D21" s="14" t="s">
        <v>3</v>
      </c>
      <c r="E21" s="1"/>
    </row>
    <row r="22" spans="1:5" x14ac:dyDescent="0.25">
      <c r="A22" s="1"/>
      <c r="B22" s="64" t="s">
        <v>10</v>
      </c>
      <c r="C22" s="9">
        <f>-C21*'Fane 5. Individuelt eff. krav'!C9</f>
        <v>0</v>
      </c>
      <c r="D22" s="14" t="s">
        <v>3</v>
      </c>
      <c r="E22" s="1"/>
    </row>
    <row r="23" spans="1:5" x14ac:dyDescent="0.25">
      <c r="A23" s="1"/>
      <c r="B23" s="64" t="s">
        <v>22</v>
      </c>
      <c r="C23" s="9">
        <f>-C21*'Fane 15. Nøgletal'!C21</f>
        <v>0</v>
      </c>
      <c r="D23" s="14" t="s">
        <v>3</v>
      </c>
      <c r="E23" s="1"/>
    </row>
    <row r="24" spans="1:5" x14ac:dyDescent="0.25">
      <c r="A24" s="1"/>
      <c r="B24" s="75" t="s">
        <v>141</v>
      </c>
      <c r="C24" s="12">
        <f>SUM(C21:C23)*(1+'Fane 15. Nøgletal'!C10)^4</f>
        <v>0</v>
      </c>
      <c r="D24" s="13" t="s">
        <v>3</v>
      </c>
      <c r="E24" s="1"/>
    </row>
    <row r="25" spans="1:5" x14ac:dyDescent="0.25">
      <c r="A25" s="1"/>
      <c r="B25" s="1"/>
      <c r="C25" s="1"/>
      <c r="D25" s="1"/>
      <c r="E25" s="1"/>
    </row>
    <row r="26" spans="1:5" ht="15" customHeight="1" x14ac:dyDescent="0.25">
      <c r="A26" s="1"/>
      <c r="B26" s="107" t="s">
        <v>180</v>
      </c>
      <c r="C26" s="108"/>
      <c r="D26" s="109"/>
      <c r="E26" s="1"/>
    </row>
    <row r="27" spans="1:5" ht="14.25" customHeight="1" x14ac:dyDescent="0.25">
      <c r="A27" s="1"/>
      <c r="B27" s="68" t="s">
        <v>179</v>
      </c>
      <c r="C27" s="9"/>
      <c r="D27" s="14" t="s">
        <v>3</v>
      </c>
      <c r="E27" s="1"/>
    </row>
    <row r="28" spans="1:5" x14ac:dyDescent="0.25">
      <c r="A28" s="1"/>
      <c r="B28" s="64" t="s">
        <v>10</v>
      </c>
      <c r="C28" s="9">
        <f>-C27*'Fane 5. Individuelt eff. krav'!C9</f>
        <v>0</v>
      </c>
      <c r="D28" s="14" t="s">
        <v>3</v>
      </c>
      <c r="E28" s="1"/>
    </row>
    <row r="29" spans="1:5" x14ac:dyDescent="0.25">
      <c r="A29" s="1"/>
      <c r="B29" s="64" t="s">
        <v>22</v>
      </c>
      <c r="C29" s="9">
        <f>-C27*'Fane 15. Nøgletal'!C21</f>
        <v>0</v>
      </c>
      <c r="D29" s="14" t="s">
        <v>3</v>
      </c>
      <c r="E29" s="1"/>
    </row>
    <row r="30" spans="1:5" x14ac:dyDescent="0.25">
      <c r="A30" s="1"/>
      <c r="B30" s="75" t="s">
        <v>181</v>
      </c>
      <c r="C30" s="12">
        <f>SUM(C27:C29)*(1+'Fane 15. Nøgletal'!C10)^5</f>
        <v>0</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OK7l1my/a5y+3fxI2igC39veqZc0zcKBuRWDVnQfC7Jpr2LMSqETjLLVVckplsK+hkrsQXc8r5qxVjcNtByJKw==" saltValue="a406FsbC+7B1QmnXWm7YYA=="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117</v>
      </c>
      <c r="C3" s="106"/>
      <c r="D3" s="106"/>
      <c r="E3" s="106"/>
      <c r="F3" s="106"/>
      <c r="G3" s="1"/>
    </row>
    <row r="4" spans="1:7" ht="15" customHeight="1" x14ac:dyDescent="0.25">
      <c r="A4" s="1"/>
      <c r="B4" s="106"/>
      <c r="C4" s="106"/>
      <c r="D4" s="106"/>
      <c r="E4" s="106"/>
      <c r="F4" s="106"/>
      <c r="G4" s="1"/>
    </row>
    <row r="5" spans="1:7" x14ac:dyDescent="0.25">
      <c r="A5" s="1"/>
      <c r="B5" s="106"/>
      <c r="C5" s="106"/>
      <c r="D5" s="106"/>
      <c r="E5" s="106"/>
      <c r="F5" s="106"/>
      <c r="G5" s="1"/>
    </row>
    <row r="6" spans="1:7" x14ac:dyDescent="0.25">
      <c r="A6" s="1"/>
      <c r="B6" s="1"/>
      <c r="C6" s="1"/>
      <c r="D6" s="1"/>
      <c r="E6" s="1"/>
      <c r="F6" s="1"/>
      <c r="G6" s="1"/>
    </row>
    <row r="7" spans="1:7" x14ac:dyDescent="0.25">
      <c r="A7" s="1"/>
      <c r="B7" s="1"/>
      <c r="C7" s="1"/>
      <c r="D7" s="1"/>
      <c r="E7" s="1"/>
      <c r="F7" s="1"/>
      <c r="G7" s="1"/>
    </row>
    <row r="8" spans="1:7" x14ac:dyDescent="0.25">
      <c r="A8" s="1"/>
      <c r="B8" s="107" t="s">
        <v>66</v>
      </c>
      <c r="C8" s="108"/>
      <c r="D8" s="108"/>
      <c r="E8" s="108"/>
      <c r="F8" s="109"/>
      <c r="G8" s="1"/>
    </row>
    <row r="9" spans="1:7" ht="15" customHeight="1" x14ac:dyDescent="0.25">
      <c r="A9" s="1"/>
      <c r="B9" s="31" t="s">
        <v>67</v>
      </c>
      <c r="C9" s="27" t="s">
        <v>11</v>
      </c>
      <c r="D9" s="32"/>
      <c r="E9" s="27" t="s">
        <v>27</v>
      </c>
      <c r="F9" s="32"/>
      <c r="G9" s="1"/>
    </row>
    <row r="10" spans="1:7" ht="26.25" x14ac:dyDescent="0.25">
      <c r="A10" s="1"/>
      <c r="B10" s="70" t="s">
        <v>222</v>
      </c>
      <c r="C10" s="9">
        <v>0</v>
      </c>
      <c r="D10" s="14" t="s">
        <v>3</v>
      </c>
      <c r="E10" s="9">
        <v>0</v>
      </c>
      <c r="F10" s="14" t="s">
        <v>3</v>
      </c>
      <c r="G10" s="1"/>
    </row>
    <row r="11" spans="1:7" ht="28.5" customHeight="1" x14ac:dyDescent="0.25">
      <c r="A11" s="1"/>
      <c r="B11" s="20" t="s">
        <v>142</v>
      </c>
      <c r="C11" s="12">
        <f>SUM(C10:C10)</f>
        <v>0</v>
      </c>
      <c r="D11" s="13" t="s">
        <v>3</v>
      </c>
      <c r="E11" s="12">
        <f>SUM(E10:E10)</f>
        <v>0</v>
      </c>
      <c r="F11" s="13" t="s">
        <v>3</v>
      </c>
      <c r="G11" s="1"/>
    </row>
    <row r="12" spans="1:7" ht="27" customHeight="1" x14ac:dyDescent="0.25">
      <c r="A12" s="1"/>
      <c r="B12" s="20" t="s">
        <v>182</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B5Ia9VWiWEvpGWok2YEH9n42WTZWEWoamtZjXDhDhmJTHrHdewZrUc39r+RJVNlhgX5Uhv6CfwVzjpSpuux7EA==" saltValue="mIcR/vMlAB+Xii91ThVcQA=="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118</v>
      </c>
      <c r="C3" s="106"/>
      <c r="D3" s="106"/>
      <c r="E3" s="106"/>
      <c r="F3" s="106"/>
      <c r="G3" s="1"/>
    </row>
    <row r="4" spans="1:7" ht="15" customHeight="1" x14ac:dyDescent="0.25">
      <c r="A4" s="1"/>
      <c r="B4" s="106"/>
      <c r="C4" s="106"/>
      <c r="D4" s="106"/>
      <c r="E4" s="106"/>
      <c r="F4" s="106"/>
      <c r="G4" s="1"/>
    </row>
    <row r="5" spans="1:7" x14ac:dyDescent="0.25">
      <c r="A5" s="1"/>
      <c r="B5" s="106"/>
      <c r="C5" s="106"/>
      <c r="D5" s="106"/>
      <c r="E5" s="106"/>
      <c r="F5" s="106"/>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07" t="s">
        <v>183</v>
      </c>
      <c r="C8" s="108"/>
      <c r="D8" s="108"/>
      <c r="E8" s="108"/>
      <c r="F8" s="109"/>
      <c r="G8" s="1"/>
    </row>
    <row r="9" spans="1:7" x14ac:dyDescent="0.25">
      <c r="A9" s="1"/>
      <c r="B9" s="31" t="s">
        <v>18</v>
      </c>
      <c r="C9" s="127" t="s">
        <v>11</v>
      </c>
      <c r="D9" s="128"/>
      <c r="E9" s="127" t="s">
        <v>27</v>
      </c>
      <c r="F9" s="128"/>
      <c r="G9" s="1"/>
    </row>
    <row r="10" spans="1:7" x14ac:dyDescent="0.25">
      <c r="A10" s="1"/>
      <c r="B10" s="70" t="s">
        <v>223</v>
      </c>
      <c r="C10" s="9">
        <v>0</v>
      </c>
      <c r="D10" s="14" t="s">
        <v>3</v>
      </c>
      <c r="E10" s="9">
        <v>0</v>
      </c>
      <c r="F10" s="14" t="s">
        <v>3</v>
      </c>
      <c r="G10" s="1"/>
    </row>
    <row r="11" spans="1:7" x14ac:dyDescent="0.25">
      <c r="A11" s="1"/>
      <c r="B11" s="33" t="s">
        <v>143</v>
      </c>
      <c r="C11" s="12">
        <f>SUM(C10:C10)</f>
        <v>0</v>
      </c>
      <c r="D11" s="13" t="s">
        <v>3</v>
      </c>
      <c r="E11" s="12">
        <f>SUM(E10:E10)</f>
        <v>0</v>
      </c>
      <c r="F11" s="13" t="s">
        <v>3</v>
      </c>
      <c r="G11" s="1"/>
    </row>
    <row r="12" spans="1:7" x14ac:dyDescent="0.25">
      <c r="A12" s="1"/>
      <c r="B12" s="33" t="s">
        <v>216</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26"/>
      <c r="C14" s="126"/>
      <c r="D14" s="126"/>
      <c r="E14" s="126"/>
      <c r="F14" s="126"/>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26"/>
      <c r="C21" s="126"/>
      <c r="D21" s="126"/>
      <c r="E21" s="126"/>
      <c r="F21" s="126"/>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26"/>
      <c r="C27" s="126"/>
      <c r="D27" s="126"/>
      <c r="E27" s="126"/>
      <c r="F27" s="126"/>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BqL7TjxRbI6of2SfomeeAFy44ECR2s7bzO1QEPeIxC0EZvVq5E5Ijwg4wPX4Lwv5Hnl9pY3XrZV2l8nzAusi+w==" saltValue="L2rafOXcCJyBW3ceHd9aRQ=="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3" t="s">
        <v>155</v>
      </c>
      <c r="C3" s="103"/>
      <c r="D3" s="103"/>
      <c r="E3" s="1"/>
    </row>
    <row r="4" spans="1:5" ht="15" customHeight="1" x14ac:dyDescent="0.25">
      <c r="A4" s="1"/>
      <c r="B4" s="103"/>
      <c r="C4" s="103"/>
      <c r="D4" s="10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90</v>
      </c>
      <c r="C9" s="7">
        <f>'Fane 3. Omkostninger i ØR2024'!C20</f>
        <v>147082055.50085524</v>
      </c>
      <c r="D9" s="8" t="s">
        <v>3</v>
      </c>
      <c r="E9" s="1"/>
    </row>
    <row r="10" spans="1:5" ht="17.25" customHeight="1" x14ac:dyDescent="0.25">
      <c r="A10" s="1"/>
      <c r="B10" s="64" t="s">
        <v>35</v>
      </c>
      <c r="C10" s="7">
        <f>'Fane 11.1. Varige tillæg'!C19</f>
        <v>686523.39309999999</v>
      </c>
      <c r="D10" s="8" t="s">
        <v>3</v>
      </c>
      <c r="E10" s="1"/>
    </row>
    <row r="11" spans="1:5" ht="17.25" customHeight="1" x14ac:dyDescent="0.25">
      <c r="A11" s="1"/>
      <c r="B11" s="64" t="s">
        <v>36</v>
      </c>
      <c r="C11" s="9">
        <f>'Fane 11.1. Varige tillæg'!E19</f>
        <v>841068.64990000008</v>
      </c>
      <c r="D11" s="8" t="s">
        <v>3</v>
      </c>
      <c r="E11" s="1"/>
    </row>
    <row r="12" spans="1:5" ht="17.25" customHeight="1" x14ac:dyDescent="0.25">
      <c r="A12" s="1"/>
      <c r="B12" s="64" t="s">
        <v>25</v>
      </c>
      <c r="C12" s="9">
        <f>-'Fane 14. Bortfald'!C12</f>
        <v>0</v>
      </c>
      <c r="D12" s="8" t="s">
        <v>3</v>
      </c>
      <c r="E12" s="1"/>
    </row>
    <row r="13" spans="1:5" ht="17.25" customHeight="1" x14ac:dyDescent="0.25">
      <c r="A13" s="1"/>
      <c r="B13" s="64" t="s">
        <v>24</v>
      </c>
      <c r="C13" s="9">
        <f>-'Fane 14. Bortfald'!E12</f>
        <v>0</v>
      </c>
      <c r="D13" s="8" t="s">
        <v>3</v>
      </c>
      <c r="E13" s="1"/>
    </row>
    <row r="14" spans="1:5" ht="17.25" customHeight="1" x14ac:dyDescent="0.25">
      <c r="A14" s="1"/>
      <c r="B14" s="64" t="s">
        <v>62</v>
      </c>
      <c r="C14" s="9">
        <f>'Fane 13. Tilknyttet virksomhed'!C12</f>
        <v>0</v>
      </c>
      <c r="D14" s="8" t="s">
        <v>3</v>
      </c>
      <c r="E14" s="1"/>
    </row>
    <row r="15" spans="1:5" ht="17.25" customHeight="1" x14ac:dyDescent="0.25">
      <c r="A15" s="1"/>
      <c r="B15" s="64" t="s">
        <v>63</v>
      </c>
      <c r="C15" s="9">
        <f>'Fane 13. Tilknyttet virksomhed'!E12</f>
        <v>0</v>
      </c>
      <c r="D15" s="8" t="s">
        <v>3</v>
      </c>
      <c r="E15" s="1"/>
    </row>
    <row r="16" spans="1:5" ht="17.25" customHeight="1" x14ac:dyDescent="0.25">
      <c r="A16" s="1"/>
      <c r="B16" s="64" t="s">
        <v>19</v>
      </c>
      <c r="C16" s="38">
        <f>SUM(C9)*'Fane 15. Nøgletal'!C9+SUM(C10:C11,C14:C15)*'Fane 15. Nøgletal'!C10</f>
        <v>11985509.436920002</v>
      </c>
      <c r="D16" s="8" t="s">
        <v>3</v>
      </c>
      <c r="E16" s="1"/>
    </row>
    <row r="17" spans="1:5" ht="17.25" customHeight="1" x14ac:dyDescent="0.25">
      <c r="A17" s="1"/>
      <c r="B17" s="64" t="s">
        <v>10</v>
      </c>
      <c r="C17" s="38">
        <f>-SUM(C9,C10:C16)*'Fane 5. Individuelt eff. krav'!C9</f>
        <v>0</v>
      </c>
      <c r="D17" s="8" t="s">
        <v>3</v>
      </c>
      <c r="E17" s="1"/>
    </row>
    <row r="18" spans="1:5" ht="17.25" customHeight="1" x14ac:dyDescent="0.25">
      <c r="A18" s="1"/>
      <c r="B18" s="64" t="s">
        <v>22</v>
      </c>
      <c r="C18" s="38">
        <f>-'Fane 4.1. Gen. krav - drift'!C17</f>
        <v>-1361926.3112247009</v>
      </c>
      <c r="D18" s="8" t="s">
        <v>3</v>
      </c>
      <c r="E18" s="1"/>
    </row>
    <row r="19" spans="1:5" ht="17.25" customHeight="1" x14ac:dyDescent="0.25">
      <c r="A19" s="1"/>
      <c r="B19" s="64" t="s">
        <v>23</v>
      </c>
      <c r="C19" s="38">
        <f>-'Fane 4.2. Gen. krav - anlæg'!C17</f>
        <v>0</v>
      </c>
      <c r="D19" s="8" t="s">
        <v>3</v>
      </c>
      <c r="E19" s="43"/>
    </row>
    <row r="20" spans="1:5" ht="17.25" customHeight="1" x14ac:dyDescent="0.25">
      <c r="A20" s="1"/>
      <c r="B20" s="81" t="s">
        <v>21</v>
      </c>
      <c r="C20" s="10">
        <f>SUM(C9:C19)</f>
        <v>159233230.66955054</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3250916.8259069282</v>
      </c>
      <c r="D22" s="11" t="s">
        <v>3</v>
      </c>
      <c r="E22" s="1"/>
    </row>
    <row r="23" spans="1:5" ht="15" customHeight="1" x14ac:dyDescent="0.25">
      <c r="A23" s="1"/>
      <c r="B23" s="33" t="s">
        <v>42</v>
      </c>
      <c r="C23" s="28"/>
      <c r="D23" s="19"/>
      <c r="E23" s="1"/>
    </row>
    <row r="24" spans="1:5" ht="15" customHeight="1" x14ac:dyDescent="0.25">
      <c r="A24" s="1"/>
      <c r="B24" s="81" t="s">
        <v>42</v>
      </c>
      <c r="C24" s="10">
        <f>'Fane 12. Periodevise driftsomk.'!C12</f>
        <v>0</v>
      </c>
      <c r="D24" s="11" t="s">
        <v>3</v>
      </c>
      <c r="E24" s="1"/>
    </row>
    <row r="25" spans="1:5" ht="15" customHeight="1" x14ac:dyDescent="0.25">
      <c r="A25" s="1"/>
      <c r="B25" s="41" t="s">
        <v>41</v>
      </c>
      <c r="C25" s="39"/>
      <c r="D25" s="40"/>
      <c r="E25" s="1"/>
    </row>
    <row r="26" spans="1:5" ht="15" customHeight="1" x14ac:dyDescent="0.25">
      <c r="A26" s="1"/>
      <c r="B26" s="64" t="s">
        <v>89</v>
      </c>
      <c r="C26" s="38">
        <f>'Fane 11.2. Engangstillæg'!C14</f>
        <v>3085824.4945910401</v>
      </c>
      <c r="D26" s="8" t="s">
        <v>3</v>
      </c>
      <c r="E26" s="1"/>
    </row>
    <row r="27" spans="1:5" ht="15" customHeight="1" x14ac:dyDescent="0.25">
      <c r="A27" s="1"/>
      <c r="B27" s="64" t="s">
        <v>38</v>
      </c>
      <c r="C27" s="38">
        <f>'Fane 11.2. Engangstillæg'!E14</f>
        <v>0</v>
      </c>
      <c r="D27" s="8" t="s">
        <v>3</v>
      </c>
      <c r="E27" s="1"/>
    </row>
    <row r="28" spans="1:5" ht="15" customHeight="1" x14ac:dyDescent="0.25">
      <c r="A28" s="1"/>
      <c r="B28" s="64" t="s">
        <v>92</v>
      </c>
      <c r="C28" s="38">
        <f>-C26*('Fane 15. Nøgletal'!C21+'Fane 5. Individuelt eff. krav'!C9)</f>
        <v>-61716.489891820805</v>
      </c>
      <c r="D28" s="8" t="s">
        <v>3</v>
      </c>
      <c r="E28" s="1"/>
    </row>
    <row r="29" spans="1:5" ht="15" customHeight="1" x14ac:dyDescent="0.25">
      <c r="A29" s="1"/>
      <c r="B29" s="64" t="s">
        <v>93</v>
      </c>
      <c r="C29" s="38">
        <f>-C27*('Fane 15. Nøgletal'!C16+'Fane 5. Individuelt eff. krav'!C9)</f>
        <v>0</v>
      </c>
      <c r="D29" s="8" t="s">
        <v>3</v>
      </c>
      <c r="E29" s="1"/>
    </row>
    <row r="30" spans="1:5" ht="15" customHeight="1" x14ac:dyDescent="0.25">
      <c r="A30" s="1"/>
      <c r="B30" s="67" t="s">
        <v>43</v>
      </c>
      <c r="C30" s="10">
        <f>SUM(C26:C29)</f>
        <v>3024108.0046992195</v>
      </c>
      <c r="D30" s="11" t="s">
        <v>3</v>
      </c>
      <c r="E30" s="1"/>
    </row>
    <row r="31" spans="1:5" x14ac:dyDescent="0.25">
      <c r="A31" s="1"/>
      <c r="B31" s="33" t="s">
        <v>69</v>
      </c>
      <c r="C31" s="28"/>
      <c r="D31" s="19"/>
      <c r="E31" s="1"/>
    </row>
    <row r="32" spans="1:5" x14ac:dyDescent="0.25">
      <c r="A32" s="1"/>
      <c r="B32" s="31" t="s">
        <v>79</v>
      </c>
      <c r="C32" s="62">
        <f>'Fane 7. Kontrol af ØR2023'!C27</f>
        <v>1339666</v>
      </c>
      <c r="D32" s="11" t="s">
        <v>3</v>
      </c>
      <c r="E32" s="1"/>
    </row>
    <row r="33" spans="1:5" ht="15" customHeight="1" x14ac:dyDescent="0.25">
      <c r="A33" s="1"/>
      <c r="B33" s="33" t="s">
        <v>154</v>
      </c>
      <c r="C33" s="28"/>
      <c r="D33" s="19"/>
      <c r="E33" s="1"/>
    </row>
    <row r="34" spans="1:5" x14ac:dyDescent="0.25">
      <c r="A34" s="1"/>
      <c r="B34" s="31" t="s">
        <v>154</v>
      </c>
      <c r="C34" s="10">
        <f>'Fane 9. Korrektion af ØR2023'!C16</f>
        <v>0</v>
      </c>
      <c r="D34" s="11" t="s">
        <v>3</v>
      </c>
      <c r="E34" s="1"/>
    </row>
    <row r="35" spans="1:5" x14ac:dyDescent="0.25">
      <c r="A35" s="1"/>
      <c r="B35" s="30" t="s">
        <v>75</v>
      </c>
      <c r="C35" s="28"/>
      <c r="D35" s="19"/>
      <c r="E35" s="1"/>
    </row>
    <row r="36" spans="1:5" x14ac:dyDescent="0.25">
      <c r="A36" s="1"/>
      <c r="B36" s="67" t="s">
        <v>76</v>
      </c>
      <c r="C36" s="10">
        <f>'Fane 8. Skattesagen'!C14</f>
        <v>0</v>
      </c>
      <c r="D36" s="11" t="s">
        <v>3</v>
      </c>
      <c r="E36" s="1"/>
    </row>
    <row r="37" spans="1:5" x14ac:dyDescent="0.25">
      <c r="A37" s="1"/>
      <c r="B37" s="33" t="s">
        <v>71</v>
      </c>
      <c r="C37" s="45">
        <f>SUM(C34,C32,C24,C30,C22,C20,C36)</f>
        <v>166847921.5001567</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oJA/VdixofUBfrTExmzRJ8dIQ5zFWo8Aw9brz9yum+x4dm32ZtwGvQ00RVP9yimmSHV+oi+Qha+j2dA/u8JUSA==" saltValue="D9T/62D4FVkbkpPTRMp5qw=="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6" t="s">
        <v>119</v>
      </c>
      <c r="C3" s="106"/>
      <c r="D3" s="1"/>
    </row>
    <row r="4" spans="1:4" ht="15" customHeight="1" x14ac:dyDescent="0.25">
      <c r="A4" s="1"/>
      <c r="B4" s="106"/>
      <c r="C4" s="106"/>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122</v>
      </c>
      <c r="C9" s="61">
        <v>8.0799999999999997E-2</v>
      </c>
      <c r="D9" s="1"/>
    </row>
    <row r="10" spans="1:4" x14ac:dyDescent="0.25">
      <c r="A10" s="1"/>
      <c r="B10" s="59" t="s">
        <v>226</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50</v>
      </c>
      <c r="C14" s="19"/>
      <c r="D14" s="1"/>
    </row>
    <row r="15" spans="1:4" x14ac:dyDescent="0.25">
      <c r="A15" s="1"/>
      <c r="B15" s="59" t="s">
        <v>215</v>
      </c>
      <c r="C15" s="60">
        <v>0</v>
      </c>
      <c r="D15" s="1"/>
    </row>
    <row r="16" spans="1:4" x14ac:dyDescent="0.25">
      <c r="A16" s="1"/>
      <c r="B16" s="59" t="s">
        <v>227</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51</v>
      </c>
      <c r="C20" s="19"/>
      <c r="D20" s="1"/>
    </row>
    <row r="21" spans="1:4" x14ac:dyDescent="0.25">
      <c r="A21" s="1"/>
      <c r="B21" s="37" t="s">
        <v>59</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DGVYKOujUvBxJIR9aufZATPg5wLpNr6EiofYpZ470+CBD+rcpS0CIZE8DkTmfM4YhN57UHlAMMuEfKNVZv4M0g==" saltValue="BvBc/mSKaSBBj812FxxMlA=="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3" t="s">
        <v>156</v>
      </c>
      <c r="C3" s="103"/>
      <c r="D3" s="103"/>
      <c r="E3" s="1"/>
    </row>
    <row r="4" spans="1:5" ht="15" customHeight="1" x14ac:dyDescent="0.25">
      <c r="A4" s="1"/>
      <c r="B4" s="103"/>
      <c r="C4" s="103"/>
      <c r="D4" s="103"/>
      <c r="E4" s="1"/>
    </row>
    <row r="5" spans="1:5" x14ac:dyDescent="0.25">
      <c r="A5" s="1"/>
      <c r="B5" s="104" t="s">
        <v>144</v>
      </c>
      <c r="C5" s="104"/>
      <c r="D5" s="104"/>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80</v>
      </c>
      <c r="C9" s="7">
        <f>'Fane 2.1. Økonomisk ramme 2025'!C20</f>
        <v>159233230.66955054</v>
      </c>
      <c r="D9" s="8" t="s">
        <v>3</v>
      </c>
      <c r="E9" s="1"/>
    </row>
    <row r="10" spans="1:5" ht="15" customHeight="1" x14ac:dyDescent="0.25">
      <c r="A10" s="1"/>
      <c r="B10" s="26" t="s">
        <v>19</v>
      </c>
      <c r="C10" s="7">
        <f>C9*'Fane 15. Nøgletal'!C10</f>
        <v>10557163.1933912</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drift'!C22</f>
        <v>-1423177.585145721</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168367216.27779603</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Nøgletal'!C10)+'Fane 6. Ikke-påvirkelige omk.'!C26+'Fane 6. Ikke-påvirkelige omk.'!C34</f>
        <v>3466452.6114645577</v>
      </c>
      <c r="D16" s="11" t="s">
        <v>3</v>
      </c>
      <c r="E16" s="1"/>
    </row>
    <row r="17" spans="1:5" ht="15" customHeight="1" x14ac:dyDescent="0.25">
      <c r="A17" s="1"/>
      <c r="B17" s="33" t="s">
        <v>42</v>
      </c>
      <c r="C17" s="28"/>
      <c r="D17" s="19"/>
      <c r="E17" s="1"/>
    </row>
    <row r="18" spans="1:5" ht="15" customHeight="1" x14ac:dyDescent="0.25">
      <c r="A18" s="1"/>
      <c r="B18" s="81" t="s">
        <v>42</v>
      </c>
      <c r="C18" s="10">
        <f>'Fane 12. Periodevise driftsomk.'!C18</f>
        <v>0</v>
      </c>
      <c r="D18" s="11" t="s">
        <v>3</v>
      </c>
      <c r="E18" s="1"/>
    </row>
    <row r="19" spans="1:5"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Skattesagen'!C15</f>
        <v>0</v>
      </c>
      <c r="D22" s="11" t="s">
        <v>3</v>
      </c>
      <c r="E22" s="1"/>
    </row>
    <row r="23" spans="1:5" x14ac:dyDescent="0.25">
      <c r="A23" s="1"/>
      <c r="B23" s="33" t="s">
        <v>81</v>
      </c>
      <c r="C23" s="12">
        <f>SUM(C14,C16,C18,C20,C22)</f>
        <v>171833668.88926059</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5JTi2esft94EQmWXVwZ8kSey0WPBJpTPm73hDHnJpDnVFiDJP2PS/OhjFdma0617akGyOwLIVt1er1gAtcphAA==" saltValue="GqLa1x03zvqAW6/pQ10v2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3" t="s">
        <v>157</v>
      </c>
      <c r="C3" s="103"/>
      <c r="D3" s="103"/>
      <c r="E3" s="1"/>
    </row>
    <row r="4" spans="1:5" ht="15" customHeight="1" x14ac:dyDescent="0.25">
      <c r="A4" s="1"/>
      <c r="B4" s="103"/>
      <c r="C4" s="103"/>
      <c r="D4" s="103"/>
      <c r="E4" s="1"/>
    </row>
    <row r="5" spans="1:5" x14ac:dyDescent="0.25">
      <c r="A5" s="1"/>
      <c r="B5" s="104" t="s">
        <v>144</v>
      </c>
      <c r="C5" s="104"/>
      <c r="D5" s="104"/>
      <c r="E5" s="1"/>
    </row>
    <row r="6" spans="1:5" x14ac:dyDescent="0.25">
      <c r="A6" s="1"/>
      <c r="B6" s="73"/>
      <c r="C6" s="73"/>
      <c r="D6" s="73"/>
      <c r="E6" s="1"/>
    </row>
    <row r="7" spans="1:5" x14ac:dyDescent="0.25">
      <c r="A7" s="1"/>
      <c r="B7" s="1"/>
      <c r="C7" s="1"/>
      <c r="D7" s="1"/>
      <c r="E7" s="1"/>
    </row>
    <row r="8" spans="1:5" x14ac:dyDescent="0.25">
      <c r="A8" s="1"/>
      <c r="B8" s="33" t="s">
        <v>13</v>
      </c>
      <c r="C8" s="28"/>
      <c r="D8" s="19"/>
      <c r="E8" s="1"/>
    </row>
    <row r="9" spans="1:5" ht="15" customHeight="1" x14ac:dyDescent="0.25">
      <c r="A9" s="1"/>
      <c r="B9" s="29" t="s">
        <v>129</v>
      </c>
      <c r="C9" s="7">
        <f>'Fane 2.2. Økonomisk ramme 2026'!C14</f>
        <v>168367216.27779603</v>
      </c>
      <c r="D9" s="8" t="s">
        <v>3</v>
      </c>
      <c r="E9" s="1"/>
    </row>
    <row r="10" spans="1:5" ht="15" customHeight="1" x14ac:dyDescent="0.25">
      <c r="A10" s="1"/>
      <c r="B10" s="26" t="s">
        <v>19</v>
      </c>
      <c r="C10" s="7">
        <f>SUM(C9:C9)*'Fane 15. Nøgletal'!C10</f>
        <v>11162746.439217877</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drift'!C27</f>
        <v>-1487183.5738600644</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178042779.14315382</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Nøgletal'!C10)^2+'Fane 6. Ikke-påvirkelige omk.'!C27+'Fane 6. Ikke-påvirkelige omk.'!C35</f>
        <v>3696278.4196046577</v>
      </c>
      <c r="D16" s="11" t="s">
        <v>3</v>
      </c>
      <c r="E16" s="1"/>
    </row>
    <row r="17" spans="1:5" ht="15" customHeight="1" x14ac:dyDescent="0.25">
      <c r="A17" s="1"/>
      <c r="B17" s="33" t="s">
        <v>42</v>
      </c>
      <c r="C17" s="28"/>
      <c r="D17" s="19"/>
      <c r="E17" s="1"/>
    </row>
    <row r="18" spans="1:5" ht="15" customHeight="1" x14ac:dyDescent="0.25">
      <c r="A18" s="1"/>
      <c r="B18" s="81" t="s">
        <v>42</v>
      </c>
      <c r="C18" s="10">
        <f>'Fane 12. Periodevise driftsomk.'!C24</f>
        <v>0</v>
      </c>
      <c r="D18" s="11" t="s">
        <v>3</v>
      </c>
      <c r="E18" s="1"/>
    </row>
    <row r="19" spans="1:5" ht="15" customHeight="1"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Skattesagen'!C16</f>
        <v>0</v>
      </c>
      <c r="D22" s="11" t="s">
        <v>3</v>
      </c>
      <c r="E22" s="1"/>
    </row>
    <row r="23" spans="1:5" x14ac:dyDescent="0.25">
      <c r="A23" s="1"/>
      <c r="B23" s="33" t="s">
        <v>130</v>
      </c>
      <c r="C23" s="12">
        <f>SUM(C14,C16,C18,C20,C22)</f>
        <v>181739057.56275848</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S2pdrqfUhQwgsoxDak3nZNJhaFuAkkYSoDsNMvxJg2v5WZjX/vAhk+H9aJZfoNnQZK28VkXRiD1bonPjrtJe/g==" saltValue="tBrLHAX+s6DR+wX0/HbYJg=="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3" t="s">
        <v>158</v>
      </c>
      <c r="C3" s="103"/>
      <c r="D3" s="103"/>
      <c r="E3" s="1"/>
    </row>
    <row r="4" spans="1:5" ht="15" customHeight="1" x14ac:dyDescent="0.25">
      <c r="A4" s="1"/>
      <c r="B4" s="103"/>
      <c r="C4" s="103"/>
      <c r="D4" s="103"/>
      <c r="E4" s="1"/>
    </row>
    <row r="5" spans="1:5" x14ac:dyDescent="0.25">
      <c r="A5" s="1"/>
      <c r="B5" s="104" t="s">
        <v>144</v>
      </c>
      <c r="C5" s="104"/>
      <c r="D5" s="104"/>
      <c r="E5" s="1"/>
    </row>
    <row r="6" spans="1:5" x14ac:dyDescent="0.25">
      <c r="A6" s="1"/>
      <c r="B6" s="73"/>
      <c r="C6" s="73"/>
      <c r="D6" s="73"/>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2.3. Økonomisk ramme 2027'!C14</f>
        <v>178042779.14315382</v>
      </c>
      <c r="D9" s="8" t="s">
        <v>3</v>
      </c>
      <c r="E9" s="1"/>
    </row>
    <row r="10" spans="1:5" ht="15" customHeight="1" x14ac:dyDescent="0.25">
      <c r="A10" s="1"/>
      <c r="B10" s="26" t="s">
        <v>19</v>
      </c>
      <c r="C10" s="7">
        <f>SUM(C9:C9)*'Fane 15. Nøgletal'!C10</f>
        <v>11804236.257191097</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drift'!C32</f>
        <v>-1554068.1679108471</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188292947.23243406</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Nøgletal'!C10)^3+'Fane 6. Ikke-påvirkelige omk.'!C28+'Fane 6. Ikke-påvirkelige omk.'!C36</f>
        <v>3941341.6788244466</v>
      </c>
      <c r="D16" s="11" t="s">
        <v>3</v>
      </c>
      <c r="E16" s="1"/>
    </row>
    <row r="17" spans="1:5" ht="15" customHeight="1" x14ac:dyDescent="0.25">
      <c r="A17" s="1"/>
      <c r="B17" s="33" t="s">
        <v>42</v>
      </c>
      <c r="C17" s="28"/>
      <c r="D17" s="19"/>
      <c r="E17" s="1"/>
    </row>
    <row r="18" spans="1:5" ht="15" customHeight="1" x14ac:dyDescent="0.25">
      <c r="A18" s="1"/>
      <c r="B18" s="81" t="s">
        <v>42</v>
      </c>
      <c r="C18" s="10">
        <f>'Fane 12. Periodevise driftsomk.'!C30</f>
        <v>0</v>
      </c>
      <c r="D18" s="11" t="s">
        <v>3</v>
      </c>
      <c r="E18" s="1"/>
    </row>
    <row r="19" spans="1:5" x14ac:dyDescent="0.25">
      <c r="A19" s="1"/>
      <c r="B19" s="30" t="s">
        <v>75</v>
      </c>
      <c r="C19" s="28"/>
      <c r="D19" s="19"/>
      <c r="E19" s="1"/>
    </row>
    <row r="20" spans="1:5" x14ac:dyDescent="0.25">
      <c r="A20" s="1"/>
      <c r="B20" s="67" t="s">
        <v>76</v>
      </c>
      <c r="C20" s="10">
        <f>'Fane 8. Skattesagen'!C17</f>
        <v>0</v>
      </c>
      <c r="D20" s="11" t="s">
        <v>3</v>
      </c>
      <c r="E20" s="1"/>
    </row>
    <row r="21" spans="1:5" x14ac:dyDescent="0.25">
      <c r="A21" s="1"/>
      <c r="B21" s="33" t="s">
        <v>160</v>
      </c>
      <c r="C21" s="12">
        <f>SUM(C14,C16,C18,C20)</f>
        <v>192234288.91125852</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3u8x1fZ62ZIvRww2YsqR7vDvKsVdsn0ROrTNkqdlfh10TLI+n9yIZQkhduvIlbl7jyyCQzj7yn9tJgJZSyTPuA==" saltValue="0ex3u2knFEO54o8CZjBj5w=="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06" t="s">
        <v>161</v>
      </c>
      <c r="C3" s="106"/>
      <c r="D3" s="106"/>
      <c r="E3" s="1"/>
    </row>
    <row r="4" spans="1:5" ht="15" customHeight="1" x14ac:dyDescent="0.25">
      <c r="A4" s="1"/>
      <c r="B4" s="106"/>
      <c r="C4" s="106"/>
      <c r="D4" s="106"/>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162</v>
      </c>
      <c r="C8" s="28"/>
      <c r="D8" s="19"/>
      <c r="E8" s="1"/>
    </row>
    <row r="9" spans="1:5" ht="15" customHeight="1" x14ac:dyDescent="0.25">
      <c r="A9" s="1"/>
      <c r="B9" s="29" t="s">
        <v>64</v>
      </c>
      <c r="C9" s="7">
        <v>134520836.80354998</v>
      </c>
      <c r="D9" s="8" t="s">
        <v>3</v>
      </c>
      <c r="E9" s="1"/>
    </row>
    <row r="10" spans="1:5" ht="15" customHeight="1" x14ac:dyDescent="0.25">
      <c r="A10" s="1"/>
      <c r="B10" s="64" t="s">
        <v>35</v>
      </c>
      <c r="C10" s="7">
        <v>966863.14480000001</v>
      </c>
      <c r="D10" s="8" t="s">
        <v>3</v>
      </c>
      <c r="E10" s="1"/>
    </row>
    <row r="11" spans="1:5" ht="15" customHeight="1" x14ac:dyDescent="0.25">
      <c r="A11" s="1"/>
      <c r="B11" s="64" t="s">
        <v>36</v>
      </c>
      <c r="C11" s="9">
        <v>1775492.8463999999</v>
      </c>
      <c r="D11" s="8" t="s">
        <v>3</v>
      </c>
      <c r="E11" s="1"/>
    </row>
    <row r="12" spans="1:5" ht="15" customHeight="1" x14ac:dyDescent="0.25">
      <c r="A12" s="1"/>
      <c r="B12" s="64" t="s">
        <v>25</v>
      </c>
      <c r="C12" s="9">
        <v>0</v>
      </c>
      <c r="D12" s="8" t="s">
        <v>3</v>
      </c>
      <c r="E12" s="1"/>
    </row>
    <row r="13" spans="1:5" ht="15" customHeight="1" x14ac:dyDescent="0.25">
      <c r="A13" s="1"/>
      <c r="B13" s="64" t="s">
        <v>24</v>
      </c>
      <c r="C13" s="9">
        <v>0</v>
      </c>
      <c r="D13" s="8" t="s">
        <v>3</v>
      </c>
      <c r="E13" s="1"/>
    </row>
    <row r="14" spans="1:5" ht="15" customHeight="1" x14ac:dyDescent="0.25">
      <c r="A14" s="1"/>
      <c r="B14" s="64" t="s">
        <v>62</v>
      </c>
      <c r="C14" s="9">
        <v>0</v>
      </c>
      <c r="D14" s="8" t="s">
        <v>3</v>
      </c>
      <c r="E14" s="1"/>
    </row>
    <row r="15" spans="1:5" ht="15" customHeight="1" x14ac:dyDescent="0.25">
      <c r="A15" s="1"/>
      <c r="B15" s="64" t="s">
        <v>63</v>
      </c>
      <c r="C15" s="9">
        <v>0</v>
      </c>
      <c r="D15" s="8" t="s">
        <v>3</v>
      </c>
      <c r="E15" s="1"/>
    </row>
    <row r="16" spans="1:5" ht="15" customHeight="1" x14ac:dyDescent="0.25">
      <c r="A16" s="1"/>
      <c r="B16" s="64" t="s">
        <v>19</v>
      </c>
      <c r="C16" s="38">
        <v>11090865.977815798</v>
      </c>
      <c r="D16" s="8" t="s">
        <v>3</v>
      </c>
      <c r="E16" s="1"/>
    </row>
    <row r="17" spans="1:5" ht="15" customHeight="1" x14ac:dyDescent="0.25">
      <c r="A17" s="1"/>
      <c r="B17" s="64" t="s">
        <v>10</v>
      </c>
      <c r="C17" s="38">
        <v>0</v>
      </c>
      <c r="D17" s="8" t="s">
        <v>3</v>
      </c>
      <c r="E17" s="1"/>
    </row>
    <row r="18" spans="1:5" ht="15" customHeight="1" x14ac:dyDescent="0.25">
      <c r="A18" s="1"/>
      <c r="B18" s="64" t="s">
        <v>22</v>
      </c>
      <c r="C18" s="38">
        <v>-1272003.2717105343</v>
      </c>
      <c r="D18" s="8" t="s">
        <v>3</v>
      </c>
      <c r="E18" s="1"/>
    </row>
    <row r="19" spans="1:5" ht="15" customHeight="1" x14ac:dyDescent="0.25">
      <c r="A19" s="1"/>
      <c r="B19" s="64" t="s">
        <v>23</v>
      </c>
      <c r="C19" s="38">
        <v>0</v>
      </c>
      <c r="D19" s="8" t="s">
        <v>3</v>
      </c>
      <c r="E19" s="43"/>
    </row>
    <row r="20" spans="1:5" ht="15" customHeight="1" x14ac:dyDescent="0.25">
      <c r="A20" s="1"/>
      <c r="B20" s="81" t="s">
        <v>21</v>
      </c>
      <c r="C20" s="10">
        <v>147082055.50085524</v>
      </c>
      <c r="D20" s="11" t="s">
        <v>3</v>
      </c>
      <c r="E20" s="1"/>
    </row>
    <row r="21" spans="1:5" ht="15" customHeight="1" x14ac:dyDescent="0.25">
      <c r="A21" s="1"/>
      <c r="B21" s="33" t="s">
        <v>12</v>
      </c>
      <c r="C21" s="28"/>
      <c r="D21" s="19"/>
      <c r="E21" s="1"/>
    </row>
    <row r="22" spans="1:5" ht="15" customHeight="1" x14ac:dyDescent="0.25">
      <c r="A22" s="1"/>
      <c r="B22" s="31" t="s">
        <v>12</v>
      </c>
      <c r="C22" s="10">
        <v>2982530.2907232</v>
      </c>
      <c r="D22" s="11" t="s">
        <v>3</v>
      </c>
      <c r="E22" s="1"/>
    </row>
    <row r="23" spans="1:5" ht="15" customHeight="1" x14ac:dyDescent="0.25">
      <c r="A23" s="1"/>
      <c r="B23" s="33" t="s">
        <v>42</v>
      </c>
      <c r="C23" s="28"/>
      <c r="D23" s="19"/>
      <c r="E23" s="1"/>
    </row>
    <row r="24" spans="1:5" ht="15" customHeight="1" x14ac:dyDescent="0.25">
      <c r="A24" s="1"/>
      <c r="B24" s="81" t="s">
        <v>42</v>
      </c>
      <c r="C24" s="10">
        <v>0</v>
      </c>
      <c r="D24" s="11" t="s">
        <v>3</v>
      </c>
      <c r="E24" s="1"/>
    </row>
    <row r="25" spans="1:5" x14ac:dyDescent="0.25">
      <c r="A25" s="1"/>
      <c r="B25" s="41" t="s">
        <v>41</v>
      </c>
      <c r="C25" s="39"/>
      <c r="D25" s="40"/>
      <c r="E25" s="1"/>
    </row>
    <row r="26" spans="1:5" ht="15" customHeight="1" x14ac:dyDescent="0.25">
      <c r="A26" s="1"/>
      <c r="B26" s="64" t="s">
        <v>89</v>
      </c>
      <c r="C26" s="38">
        <v>2030610.5807007998</v>
      </c>
      <c r="D26" s="8" t="s">
        <v>3</v>
      </c>
      <c r="E26" s="1"/>
    </row>
    <row r="27" spans="1:5" ht="15" customHeight="1" x14ac:dyDescent="0.25">
      <c r="A27" s="1"/>
      <c r="B27" s="64" t="s">
        <v>38</v>
      </c>
      <c r="C27" s="38">
        <v>0</v>
      </c>
      <c r="D27" s="8" t="s">
        <v>3</v>
      </c>
      <c r="E27" s="1"/>
    </row>
    <row r="28" spans="1:5" ht="15" customHeight="1" x14ac:dyDescent="0.25">
      <c r="A28" s="1"/>
      <c r="B28" s="64" t="s">
        <v>92</v>
      </c>
      <c r="C28" s="38">
        <v>-40612.211614016</v>
      </c>
      <c r="D28" s="8" t="s">
        <v>3</v>
      </c>
      <c r="E28" s="1"/>
    </row>
    <row r="29" spans="1:5" ht="15" customHeight="1" x14ac:dyDescent="0.25">
      <c r="A29" s="1"/>
      <c r="B29" s="64" t="s">
        <v>93</v>
      </c>
      <c r="C29" s="38">
        <v>0</v>
      </c>
      <c r="D29" s="8" t="s">
        <v>3</v>
      </c>
      <c r="E29" s="1"/>
    </row>
    <row r="30" spans="1:5" ht="15" customHeight="1" x14ac:dyDescent="0.25">
      <c r="A30" s="1"/>
      <c r="B30" s="67" t="s">
        <v>43</v>
      </c>
      <c r="C30" s="10">
        <v>1989998.3690867838</v>
      </c>
      <c r="D30" s="11" t="s">
        <v>3</v>
      </c>
      <c r="E30" s="1"/>
    </row>
    <row r="31" spans="1:5" ht="15" customHeight="1" x14ac:dyDescent="0.25">
      <c r="A31" s="1"/>
      <c r="B31" s="33" t="s">
        <v>69</v>
      </c>
      <c r="C31" s="28"/>
      <c r="D31" s="19"/>
      <c r="E31" s="1"/>
    </row>
    <row r="32" spans="1:5" ht="15" customHeight="1" x14ac:dyDescent="0.25">
      <c r="A32" s="1"/>
      <c r="B32" s="31" t="s">
        <v>79</v>
      </c>
      <c r="C32" s="10">
        <v>-1339666</v>
      </c>
      <c r="D32" s="11" t="s">
        <v>3</v>
      </c>
      <c r="E32" s="1"/>
    </row>
    <row r="33" spans="1:5" x14ac:dyDescent="0.25">
      <c r="A33" s="1"/>
      <c r="B33" s="33" t="s">
        <v>128</v>
      </c>
      <c r="C33" s="28"/>
      <c r="D33" s="19"/>
      <c r="E33" s="1"/>
    </row>
    <row r="34" spans="1:5" ht="15.4" customHeight="1" x14ac:dyDescent="0.25">
      <c r="A34" s="1"/>
      <c r="B34" s="31" t="s">
        <v>128</v>
      </c>
      <c r="C34" s="10">
        <v>0</v>
      </c>
      <c r="D34" s="11" t="s">
        <v>3</v>
      </c>
      <c r="E34" s="1"/>
    </row>
    <row r="35" spans="1:5" ht="15.4" customHeight="1" x14ac:dyDescent="0.25">
      <c r="A35" s="1"/>
      <c r="B35" s="30" t="s">
        <v>75</v>
      </c>
      <c r="C35" s="28"/>
      <c r="D35" s="19"/>
      <c r="E35" s="1"/>
    </row>
    <row r="36" spans="1:5" x14ac:dyDescent="0.25">
      <c r="A36" s="1"/>
      <c r="B36" s="67" t="s">
        <v>76</v>
      </c>
      <c r="C36" s="10">
        <v>0</v>
      </c>
      <c r="D36" s="11" t="s">
        <v>3</v>
      </c>
      <c r="E36" s="1"/>
    </row>
    <row r="37" spans="1:5" x14ac:dyDescent="0.25">
      <c r="A37" s="1"/>
      <c r="B37" s="30" t="s">
        <v>213</v>
      </c>
      <c r="C37" s="28"/>
      <c r="D37" s="19"/>
      <c r="E37" s="1"/>
    </row>
    <row r="38" spans="1:5" x14ac:dyDescent="0.25">
      <c r="A38" s="1"/>
      <c r="B38" s="67" t="s">
        <v>214</v>
      </c>
      <c r="C38" s="10">
        <v>2462312.5337235862</v>
      </c>
      <c r="D38" s="11" t="s">
        <v>3</v>
      </c>
      <c r="E38" s="1"/>
    </row>
    <row r="39" spans="1:5" x14ac:dyDescent="0.25">
      <c r="A39" s="1"/>
      <c r="B39" s="33" t="s">
        <v>65</v>
      </c>
      <c r="C39" s="45">
        <v>153177230.69438881</v>
      </c>
      <c r="D39" s="30" t="s">
        <v>3</v>
      </c>
      <c r="E39" s="1"/>
    </row>
    <row r="40" spans="1:5" ht="30" customHeight="1" x14ac:dyDescent="0.25">
      <c r="A40" s="1"/>
      <c r="B40" s="105" t="s">
        <v>225</v>
      </c>
      <c r="C40" s="105"/>
      <c r="D40" s="105"/>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s="56" customFormat="1" hidden="1" x14ac:dyDescent="0.25"/>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wjTJoFrPBVBqgnS2h81yg9VEzkj4EKa18zKb+uzwAKZQLHUTtS6BCnvQsYd7Biy/cMP36EnxEWiRT+67wIg0hA==" saltValue="zh9ZFXFWKGyDr7mR+BXp+Q==" spinCount="100000" sheet="1" objects="1" scenarios="1"/>
  <mergeCells count="2">
    <mergeCell ref="B40:D40"/>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06" t="s">
        <v>56</v>
      </c>
      <c r="C3" s="106"/>
      <c r="D3" s="106"/>
      <c r="E3" s="1"/>
    </row>
    <row r="4" spans="1:5" ht="15" customHeight="1" x14ac:dyDescent="0.25">
      <c r="A4" s="1"/>
      <c r="B4" s="106"/>
      <c r="C4" s="106"/>
      <c r="D4" s="106"/>
      <c r="E4" s="1"/>
    </row>
    <row r="5" spans="1:5" ht="15" customHeight="1" x14ac:dyDescent="0.25">
      <c r="A5" s="1"/>
      <c r="B5" s="106"/>
      <c r="C5" s="106"/>
      <c r="D5" s="106"/>
      <c r="E5" s="1"/>
    </row>
    <row r="6" spans="1:5" ht="15" customHeight="1" x14ac:dyDescent="0.25">
      <c r="A6" s="1"/>
      <c r="B6" s="74"/>
      <c r="C6" s="74"/>
      <c r="D6" s="74"/>
      <c r="E6" s="1"/>
    </row>
    <row r="7" spans="1:5" x14ac:dyDescent="0.25">
      <c r="A7" s="1"/>
      <c r="B7" s="1"/>
      <c r="C7" s="1"/>
      <c r="D7" s="1"/>
      <c r="E7" s="1"/>
    </row>
    <row r="8" spans="1:5" x14ac:dyDescent="0.25">
      <c r="A8" s="1"/>
      <c r="B8" s="107" t="s">
        <v>123</v>
      </c>
      <c r="C8" s="108"/>
      <c r="D8" s="109"/>
      <c r="E8" s="1"/>
    </row>
    <row r="9" spans="1:5" x14ac:dyDescent="0.25">
      <c r="A9" s="1"/>
      <c r="B9" s="65" t="s">
        <v>88</v>
      </c>
      <c r="C9" s="23">
        <v>62555177.898626871</v>
      </c>
      <c r="D9" s="14" t="s">
        <v>3</v>
      </c>
      <c r="E9" s="1"/>
    </row>
    <row r="10" spans="1:5" x14ac:dyDescent="0.25">
      <c r="A10" s="1"/>
      <c r="B10" s="65" t="s">
        <v>125</v>
      </c>
      <c r="C10" s="23">
        <f>('Fane 3. Omkostninger i ØR2024'!C10+'Fane 3. Omkostninger i ØR2024'!C12+'Fane 3. Omkostninger i ØR2024'!C14)*(1+'Fane 15. Nøgletal'!C9)</f>
        <v>1044985.68689984</v>
      </c>
      <c r="D10" s="14" t="s">
        <v>3</v>
      </c>
      <c r="E10" s="1"/>
    </row>
    <row r="11" spans="1:5" x14ac:dyDescent="0.25">
      <c r="A11" s="1"/>
      <c r="B11" s="65" t="s">
        <v>131</v>
      </c>
      <c r="C11" s="23">
        <f>C9*'Fane 15. Nøgletal'!C21+C10*'Fane 15. Nøgletal'!C21</f>
        <v>1272003.2717105341</v>
      </c>
      <c r="D11" s="14" t="s">
        <v>3</v>
      </c>
      <c r="E11" s="1"/>
    </row>
    <row r="12" spans="1:5" x14ac:dyDescent="0.25">
      <c r="A12" s="1"/>
      <c r="B12" s="33"/>
      <c r="C12" s="28"/>
      <c r="D12" s="19"/>
      <c r="E12" s="1"/>
    </row>
    <row r="13" spans="1:5" x14ac:dyDescent="0.25">
      <c r="A13" s="1"/>
      <c r="B13" s="1"/>
      <c r="C13" s="1"/>
      <c r="D13" s="1"/>
      <c r="E13" s="1"/>
    </row>
    <row r="14" spans="1:5" x14ac:dyDescent="0.25">
      <c r="A14" s="1"/>
      <c r="B14" s="107" t="s">
        <v>124</v>
      </c>
      <c r="C14" s="108"/>
      <c r="D14" s="109"/>
      <c r="E14" s="1"/>
    </row>
    <row r="15" spans="1:5" x14ac:dyDescent="0.25">
      <c r="A15" s="1"/>
      <c r="B15" s="65" t="s">
        <v>133</v>
      </c>
      <c r="C15" s="23">
        <f>(C9+C10-C11)*(1+'Fane 15. Nøgletal'!C9)</f>
        <v>67364275.667172521</v>
      </c>
      <c r="D15" s="14" t="s">
        <v>3</v>
      </c>
      <c r="E15" s="1"/>
    </row>
    <row r="16" spans="1:5" x14ac:dyDescent="0.25">
      <c r="A16" s="1"/>
      <c r="B16" s="65" t="s">
        <v>184</v>
      </c>
      <c r="C16" s="23">
        <f>('Fane 2.1. Økonomisk ramme 2025'!C10+'Fane 2.1. Økonomisk ramme 2025'!C12+'Fane 2.1. Økonomisk ramme 2025'!C14)*(1+'Fane 15. Nøgletal'!C10)</f>
        <v>732039.89406253002</v>
      </c>
      <c r="D16" s="14" t="s">
        <v>3</v>
      </c>
      <c r="E16" s="1"/>
    </row>
    <row r="17" spans="1:5" x14ac:dyDescent="0.25">
      <c r="A17" s="1"/>
      <c r="B17" s="65" t="s">
        <v>132</v>
      </c>
      <c r="C17" s="23">
        <f>C15*'Fane 15. Nøgletal'!C21+C16*'Fane 15. Nøgletal'!C21</f>
        <v>1361926.3112247009</v>
      </c>
      <c r="D17" s="14" t="s">
        <v>3</v>
      </c>
      <c r="E17" s="1"/>
    </row>
    <row r="18" spans="1:5" x14ac:dyDescent="0.25">
      <c r="A18" s="1"/>
      <c r="B18" s="33"/>
      <c r="C18" s="28"/>
      <c r="D18" s="19"/>
      <c r="E18" s="1"/>
    </row>
    <row r="19" spans="1:5" x14ac:dyDescent="0.25">
      <c r="A19" s="1"/>
      <c r="B19" s="1"/>
      <c r="C19" s="63"/>
      <c r="D19" s="1"/>
      <c r="E19" s="1"/>
    </row>
    <row r="20" spans="1:5" x14ac:dyDescent="0.25">
      <c r="A20" s="1"/>
      <c r="B20" s="107" t="s">
        <v>145</v>
      </c>
      <c r="C20" s="108"/>
      <c r="D20" s="109"/>
      <c r="E20" s="1"/>
    </row>
    <row r="21" spans="1:5" x14ac:dyDescent="0.25">
      <c r="A21" s="1"/>
      <c r="B21" s="65" t="s">
        <v>189</v>
      </c>
      <c r="C21" s="23">
        <f>(C15+C16-C17)*(1+'Fane 15. Nøgletal'!C10)</f>
        <v>71158879.257286042</v>
      </c>
      <c r="D21" s="14" t="s">
        <v>3</v>
      </c>
      <c r="E21" s="1"/>
    </row>
    <row r="22" spans="1:5" x14ac:dyDescent="0.25">
      <c r="A22" s="1"/>
      <c r="B22" s="65" t="s">
        <v>196</v>
      </c>
      <c r="C22" s="23">
        <f>C21*'Fane 15. Nøgletal'!C21</f>
        <v>1423177.585145721</v>
      </c>
      <c r="D22" s="14" t="s">
        <v>3</v>
      </c>
      <c r="E22" s="1"/>
    </row>
    <row r="23" spans="1:5" x14ac:dyDescent="0.25">
      <c r="A23" s="1"/>
      <c r="B23" s="33"/>
      <c r="C23" s="28"/>
      <c r="D23" s="19"/>
      <c r="E23" s="1"/>
    </row>
    <row r="24" spans="1:5" x14ac:dyDescent="0.25">
      <c r="A24" s="1"/>
      <c r="B24" s="1"/>
      <c r="C24" s="1"/>
      <c r="D24" s="1"/>
      <c r="E24" s="1"/>
    </row>
    <row r="25" spans="1:5" x14ac:dyDescent="0.25">
      <c r="A25" s="1"/>
      <c r="B25" s="107" t="s">
        <v>187</v>
      </c>
      <c r="C25" s="108"/>
      <c r="D25" s="109"/>
      <c r="E25" s="1"/>
    </row>
    <row r="26" spans="1:5" x14ac:dyDescent="0.25">
      <c r="A26" s="1"/>
      <c r="B26" s="65" t="s">
        <v>190</v>
      </c>
      <c r="C26" s="23">
        <f>(C21-C22)*(1+'Fane 15. Nøgletal'!C10)</f>
        <v>74359178.693003222</v>
      </c>
      <c r="D26" s="14" t="s">
        <v>3</v>
      </c>
      <c r="E26" s="1"/>
    </row>
    <row r="27" spans="1:5" x14ac:dyDescent="0.25">
      <c r="A27" s="1"/>
      <c r="B27" s="65" t="s">
        <v>194</v>
      </c>
      <c r="C27" s="23">
        <f>C26*'Fane 15. Nøgletal'!C21</f>
        <v>1487183.5738600644</v>
      </c>
      <c r="D27" s="14" t="s">
        <v>3</v>
      </c>
      <c r="E27" s="1"/>
    </row>
    <row r="28" spans="1:5" x14ac:dyDescent="0.25">
      <c r="A28" s="1"/>
      <c r="B28" s="33"/>
      <c r="C28" s="28"/>
      <c r="D28" s="19"/>
      <c r="E28" s="1"/>
    </row>
    <row r="29" spans="1:5" x14ac:dyDescent="0.25">
      <c r="A29" s="1"/>
      <c r="B29" s="1"/>
      <c r="C29" s="1"/>
      <c r="D29" s="1"/>
      <c r="E29" s="1"/>
    </row>
    <row r="30" spans="1:5" x14ac:dyDescent="0.25">
      <c r="A30" s="1"/>
      <c r="B30" s="107" t="s">
        <v>188</v>
      </c>
      <c r="C30" s="108"/>
      <c r="D30" s="109"/>
      <c r="E30" s="1"/>
    </row>
    <row r="31" spans="1:5" x14ac:dyDescent="0.25">
      <c r="A31" s="1"/>
      <c r="B31" s="65" t="s">
        <v>191</v>
      </c>
      <c r="C31" s="23">
        <f>(C26-C27)*(1+'Fane 15. Nøgletal'!C10)</f>
        <v>77703408.395542353</v>
      </c>
      <c r="D31" s="14" t="s">
        <v>3</v>
      </c>
      <c r="E31" s="1"/>
    </row>
    <row r="32" spans="1:5" x14ac:dyDescent="0.25">
      <c r="A32" s="1"/>
      <c r="B32" s="65" t="s">
        <v>195</v>
      </c>
      <c r="C32" s="23">
        <f>C31*'Fane 15. Nøgletal'!C21</f>
        <v>1554068.1679108471</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MHWNjKPzLLcWV2Mnhdt0sV49LraPjkKZURdGXJw6CB6Wl0QlxP+MUIIvVoXajHcAK1e5opDe9VpP9D9WVts3+g==" saltValue="wP2DZ+ccaKj7VlTsjf8BtQ=="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69"/>
      <c r="C1" s="69"/>
      <c r="D1" s="69"/>
      <c r="E1" s="1"/>
    </row>
    <row r="2" spans="1:5" ht="15" customHeight="1" x14ac:dyDescent="0.35">
      <c r="A2" s="1"/>
      <c r="B2" s="69"/>
      <c r="C2" s="69"/>
      <c r="D2" s="69"/>
      <c r="E2" s="1"/>
    </row>
    <row r="3" spans="1:5" ht="15" customHeight="1" x14ac:dyDescent="0.25">
      <c r="A3" s="1"/>
      <c r="B3" s="110" t="s">
        <v>57</v>
      </c>
      <c r="C3" s="110"/>
      <c r="D3" s="110"/>
      <c r="E3" s="1"/>
    </row>
    <row r="4" spans="1:5" ht="15" customHeight="1" x14ac:dyDescent="0.25">
      <c r="A4" s="1"/>
      <c r="B4" s="110"/>
      <c r="C4" s="110"/>
      <c r="D4" s="110"/>
      <c r="E4" s="1"/>
    </row>
    <row r="5" spans="1:5" ht="15" customHeight="1" x14ac:dyDescent="0.25">
      <c r="A5" s="1"/>
      <c r="B5" s="110"/>
      <c r="C5" s="110"/>
      <c r="D5" s="110"/>
      <c r="E5" s="1"/>
    </row>
    <row r="6" spans="1:5" ht="15" customHeight="1" x14ac:dyDescent="0.35">
      <c r="A6" s="1"/>
      <c r="B6" s="69"/>
      <c r="C6" s="69"/>
      <c r="D6" s="69"/>
      <c r="E6" s="1"/>
    </row>
    <row r="7" spans="1:5" x14ac:dyDescent="0.25">
      <c r="A7" s="1"/>
      <c r="B7" s="1"/>
      <c r="C7" s="1"/>
      <c r="D7" s="1"/>
      <c r="E7" s="1"/>
    </row>
    <row r="8" spans="1:5" x14ac:dyDescent="0.25">
      <c r="A8" s="1"/>
      <c r="B8" s="107" t="s">
        <v>147</v>
      </c>
      <c r="C8" s="108"/>
      <c r="D8" s="109"/>
      <c r="E8" s="1"/>
    </row>
    <row r="9" spans="1:5" x14ac:dyDescent="0.25">
      <c r="A9" s="1"/>
      <c r="B9" s="65" t="s">
        <v>134</v>
      </c>
      <c r="C9" s="23">
        <v>96503195.548522726</v>
      </c>
      <c r="D9" s="14" t="s">
        <v>3</v>
      </c>
      <c r="E9" s="1"/>
    </row>
    <row r="10" spans="1:5" x14ac:dyDescent="0.25">
      <c r="A10" s="1"/>
      <c r="B10" s="65" t="s">
        <v>126</v>
      </c>
      <c r="C10" s="23">
        <f>('Fane 3. Omkostninger i ØR2024'!C11+'Fane 3. Omkostninger i ØR2024'!C13+'Fane 3. Omkostninger i ØR2024'!C15)*(1+'Fane 15. Nøgletal'!C9)</f>
        <v>1918952.6683891199</v>
      </c>
      <c r="D10" s="14" t="s">
        <v>3</v>
      </c>
      <c r="E10" s="1"/>
    </row>
    <row r="11" spans="1:5" x14ac:dyDescent="0.25">
      <c r="A11" s="1"/>
      <c r="B11" s="65" t="s">
        <v>135</v>
      </c>
      <c r="C11" s="23">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07" t="s">
        <v>146</v>
      </c>
      <c r="C14" s="108"/>
      <c r="D14" s="109"/>
      <c r="E14" s="1"/>
    </row>
    <row r="15" spans="1:5" x14ac:dyDescent="0.25">
      <c r="A15" s="1"/>
      <c r="B15" s="65" t="s">
        <v>136</v>
      </c>
      <c r="C15" s="23">
        <f>(C9+C10-C11)*(1+'Fane 15. Nøgletal'!C9)</f>
        <v>106374657.79283834</v>
      </c>
      <c r="D15" s="14" t="s">
        <v>3</v>
      </c>
      <c r="E15" s="1"/>
    </row>
    <row r="16" spans="1:5" x14ac:dyDescent="0.25">
      <c r="A16" s="1"/>
      <c r="B16" s="65" t="s">
        <v>185</v>
      </c>
      <c r="C16" s="23">
        <f>('Fane 2.1. Økonomisk ramme 2025'!C11+'Fane 2.1. Økonomisk ramme 2025'!C13+'Fane 2.1. Økonomisk ramme 2025'!C15)*(1+'Fane 15. Nøgletal'!C10)</f>
        <v>896831.50138837006</v>
      </c>
      <c r="D16" s="14" t="s">
        <v>3</v>
      </c>
      <c r="E16" s="1"/>
    </row>
    <row r="17" spans="1:5" x14ac:dyDescent="0.25">
      <c r="A17" s="1"/>
      <c r="B17" s="65" t="s">
        <v>137</v>
      </c>
      <c r="C17" s="23">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07" t="s">
        <v>82</v>
      </c>
      <c r="C20" s="108"/>
      <c r="D20" s="109"/>
      <c r="E20" s="1"/>
    </row>
    <row r="21" spans="1:5" x14ac:dyDescent="0.25">
      <c r="A21" s="1"/>
      <c r="B21" s="65" t="s">
        <v>192</v>
      </c>
      <c r="C21" s="23">
        <f>(C15+C16-C17)*(1+'Fane 15. Nøgletal'!C10)</f>
        <v>114383589.03443395</v>
      </c>
      <c r="D21" s="14" t="s">
        <v>3</v>
      </c>
      <c r="E21" s="1"/>
    </row>
    <row r="22" spans="1:5" x14ac:dyDescent="0.25">
      <c r="A22" s="1"/>
      <c r="B22" s="65" t="s">
        <v>197</v>
      </c>
      <c r="C22" s="23">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07" t="s">
        <v>138</v>
      </c>
      <c r="C25" s="108"/>
      <c r="D25" s="109"/>
      <c r="E25" s="1"/>
    </row>
    <row r="26" spans="1:5" x14ac:dyDescent="0.25">
      <c r="A26" s="1"/>
      <c r="B26" s="65" t="s">
        <v>193</v>
      </c>
      <c r="C26" s="23">
        <f>(C21-C22)*(1+'Fane 15. Nøgletal'!C10)</f>
        <v>121967220.98741692</v>
      </c>
      <c r="D26" s="14" t="s">
        <v>3</v>
      </c>
      <c r="E26" s="1"/>
    </row>
    <row r="27" spans="1:5" x14ac:dyDescent="0.25">
      <c r="A27" s="1"/>
      <c r="B27" s="65" t="s">
        <v>198</v>
      </c>
      <c r="C27" s="23">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07" t="s">
        <v>163</v>
      </c>
      <c r="C30" s="108"/>
      <c r="D30" s="109"/>
      <c r="E30" s="1"/>
    </row>
    <row r="31" spans="1:5" x14ac:dyDescent="0.25">
      <c r="A31" s="1"/>
      <c r="B31" s="65" t="s">
        <v>200</v>
      </c>
      <c r="C31" s="23">
        <f>(C26-C27)*(1+'Fane 15. Nøgletal'!C10)</f>
        <v>130053647.73888266</v>
      </c>
      <c r="D31" s="14" t="s">
        <v>3</v>
      </c>
      <c r="E31" s="1"/>
    </row>
    <row r="32" spans="1:5" x14ac:dyDescent="0.25">
      <c r="A32" s="1"/>
      <c r="B32" s="65" t="s">
        <v>199</v>
      </c>
      <c r="C32" s="23">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F/D3ZCjDflpL/UdCJShzy1X8NRjCojH1CHmWY4LXMLvlShTkITrgpjHri0zieMkqJq16Bzv8oJ+bOrc2yneJQw==" saltValue="LFUzrER6yPIexHemFi3PGQ=="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3" t="s">
        <v>44</v>
      </c>
      <c r="C3" s="103"/>
      <c r="D3" s="1"/>
    </row>
    <row r="4" spans="1:4" ht="15" customHeight="1" x14ac:dyDescent="0.25">
      <c r="A4" s="1"/>
      <c r="B4" s="103"/>
      <c r="C4" s="103"/>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07" t="s">
        <v>10</v>
      </c>
      <c r="C8" s="109"/>
      <c r="D8" s="1"/>
    </row>
    <row r="9" spans="1:4" x14ac:dyDescent="0.25">
      <c r="A9" s="1"/>
      <c r="B9" s="65" t="s">
        <v>164</v>
      </c>
      <c r="C9" s="22">
        <v>0</v>
      </c>
      <c r="D9" s="1"/>
    </row>
    <row r="10" spans="1:4" x14ac:dyDescent="0.25">
      <c r="A10" s="1"/>
      <c r="B10" s="33"/>
      <c r="C10" s="19"/>
      <c r="D10" s="1"/>
    </row>
    <row r="11" spans="1:4" x14ac:dyDescent="0.25">
      <c r="A11" s="1"/>
      <c r="B11" s="111" t="s">
        <v>220</v>
      </c>
      <c r="C11" s="112"/>
      <c r="D11" s="1"/>
    </row>
    <row r="12" spans="1:4" x14ac:dyDescent="0.25">
      <c r="A12" s="1"/>
      <c r="B12" s="113"/>
      <c r="C12" s="114"/>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3/Auw2syKHdkP8Fp3FPLngbBKrMvsTggRHaoU26QjbXY3SGzlz8WBwFQMo1iNON3MAE2r48oF9qas6nwDZErCQ==" saltValue="UzeSFzlmTZR8fSz+1Hb0/Q=="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2024-05-06T07:45:39Z</cp:lastPrinted>
  <dcterms:created xsi:type="dcterms:W3CDTF">2016-06-02T08:51:18Z</dcterms:created>
  <dcterms:modified xsi:type="dcterms:W3CDTF">2024-09-24T08:49:09Z</dcterms:modified>
</cp:coreProperties>
</file>