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Energi Viborg Vand AS (S014)\ØR2022\"/>
    </mc:Choice>
  </mc:AlternateContent>
  <xr:revisionPtr revIDLastSave="0" documentId="13_ncr:1_{8C010A16-A53D-4DEE-9B62-ED7A6204F0B6}" xr6:coauthVersionLast="36" xr6:coauthVersionMax="36" xr10:uidLastSave="{00000000-0000-0000-0000-000000000000}"/>
  <bookViews>
    <workbookView xWindow="3105" yWindow="1005" windowWidth="12735" windowHeight="4620" tabRatio="872" xr2:uid="{00000000-000D-0000-FFFF-FFFF00000000}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91029"/>
</workbook>
</file>

<file path=xl/calcChain.xml><?xml version="1.0" encoding="utf-8"?>
<calcChain xmlns="http://schemas.openxmlformats.org/spreadsheetml/2006/main">
  <c r="E14" i="37" l="1"/>
  <c r="C14" i="37"/>
  <c r="E16" i="40" l="1"/>
  <c r="E12" i="40"/>
  <c r="E26" i="32" l="1"/>
  <c r="E32" i="32" l="1"/>
  <c r="E34" i="32" s="1"/>
  <c r="C15" i="19"/>
  <c r="C30" i="2" l="1"/>
  <c r="C26" i="15"/>
  <c r="E28" i="20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G11" i="11"/>
  <c r="C15" i="37" l="1"/>
  <c r="C10" i="2" s="1"/>
  <c r="G35" i="36"/>
  <c r="E19" i="27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5" i="37" l="1"/>
  <c r="C11" i="2" s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<sst xmlns="http://schemas.openxmlformats.org/spreadsheetml/2006/main" count="714" uniqueCount="289">
  <si>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</si>
  <si>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</si>
  <si>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</si>
  <si>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</si>
  <si>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</si>
  <si>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</si>
  <si>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</si>
  <si>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</si>
  <si>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</si>
  <si>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</si>
  <si>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</si>
  <si>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</si>
  <si>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</si>
  <si>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</si>
  <si>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</si>
  <si>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</si>
  <si>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</si>
  <si>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</si>
  <si>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</si>
  <si>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</si>
  <si>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</si>
  <si>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</si>
  <si>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</si>
  <si>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</si>
  <si>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</si>
  <si>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</si>
  <si>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</si>
  <si>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</si>
  <si>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</si>
  <si>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</si>
  <si>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</si>
  <si>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</si>
  <si>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</si>
  <si>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</si>
  <si>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</si>
  <si>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</si>
  <si>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</si>
  <si>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</si>
  <si>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</si>
  <si>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</si>
  <si>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</si>
  <si>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</si>
  <si>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</si>
  <si>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</si>
  <si>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</si>
  <si>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</si>
  <si>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</si>
  <si>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</si>
  <si>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</si>
  <si>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</si>
  <si>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</si>
  <si>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</si>
  <si>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</si>
  <si>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</si>
  <si>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</si>
  <si>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</si>
  <si>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</si>
  <si>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</si>
  <si>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</si>
  <si>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</si>
  <si>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</si>
  <si>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</si>
  <si>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</si>
  <si>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</si>
  <si>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</si>
  <si>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</si>
  <si>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</si>
  <si>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</si>
  <si>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</si>
  <si>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</si>
  <si>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</si>
  <si>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</si>
  <si>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</si>
  <si>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</si>
  <si>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</si>
  <si>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</si>
  <si>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</si>
  <si>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</si>
  <si>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</si>
  <si>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</si>
  <si>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</si>
  <si>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</si>
  <si>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</si>
  <si>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</si>
  <si>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</si>
  <si>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</si>
  <si>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</si>
  <si>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</si>
  <si>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</si>
  <si>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</si>
  <si>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</si>
  <si>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</si>
  <si>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</si>
  <si>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</si>
  <si>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</si>
  <si>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</si>
  <si>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</si>
  <si>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</si>
  <si>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</si>
  <si>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</si>
  <si>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</si>
  <si>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</si>
  <si>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</si>
  <si>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</si>
  <si>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</si>
  <si>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</si>
  <si>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</si>
  <si>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</si>
  <si>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</si>
  <si>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</si>
  <si>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</si>
  <si>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</si>
  <si>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</si>
  <si>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</si>
  <si>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</si>
  <si>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</si>
  <si>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</si>
  <si>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</si>
  <si>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</si>
  <si>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</si>
  <si>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</si>
  <si>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</si>
  <si>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</si>
  <si>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</si>
  <si>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</si>
  <si>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</si>
  <si>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</si>
  <si>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</si>
  <si>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</si>
  <si>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</si>
  <si>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</si>
  <si>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</si>
  <si>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</si>
  <si>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</si>
  <si>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</si>
  <si>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</si>
  <si>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</si>
  <si>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</si>
  <si>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</si>
  <si>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</si>
  <si>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</si>
  <si>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</si>
  <si>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</si>
  <si>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</si>
  <si>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</si>
  <si>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</si>
  <si>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</si>
  <si>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</si>
  <si>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</si>
  <si>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</si>
  <si>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</si>
  <si>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</si>
  <si>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</si>
  <si>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</si>
  <si>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</si>
  <si>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</si>
  <si>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</si>
  <si>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</si>
  <si>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</si>
  <si>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</si>
  <si>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</si>
  <si>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</si>
  <si>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</si>
  <si>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</si>
  <si>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</si>
  <si>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</si>
  <si>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</si>
  <si>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</si>
  <si>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</si>
  <si>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</si>
  <si>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</si>
  <si>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</si>
  <si>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</si>
  <si>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</si>
  <si>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</si>
  <si>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</si>
  <si>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</si>
  <si>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</si>
  <si>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</si>
  <si>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</si>
  <si>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</si>
  <si>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</si>
  <si>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</si>
  <si>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</si>
  <si>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</si>
  <si>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</si>
  <si>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</si>
  <si>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</si>
  <si>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</si>
  <si>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</si>
  <si>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</si>
  <si>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</si>
  <si>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</si>
  <si>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</si>
  <si>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</si>
  <si>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</si>
  <si>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</si>
  <si>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</si>
  <si>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</si>
  <si>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</si>
  <si>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</si>
  <si>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</si>
  <si>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</si>
  <si>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</si>
  <si>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</si>
  <si>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</si>
  <si>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</si>
  <si>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</si>
  <si>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</si>
  <si>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</si>
  <si>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</si>
  <si>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</si>
  <si>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</si>
  <si>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</si>
  <si>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</si>
  <si>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</si>
  <si>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</si>
  <si>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</si>
  <si>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</si>
  <si>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</si>
  <si>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</si>
  <si>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</si>
  <si>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</si>
  <si>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</si>
  <si>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</si>
  <si>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</si>
  <si>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</si>
  <si>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</si>
  <si>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</si>
  <si>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</si>
  <si>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</si>
  <si>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</si>
  <si>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</si>
  <si>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</si>
  <si>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</si>
  <si>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</si>
  <si>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</si>
  <si>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</si>
  <si>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</si>
  <si>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</si>
  <si>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</si>
  <si>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</si>
  <si>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</si>
  <si>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</si>
  <si>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</si>
  <si>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</si>
  <si>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</si>
  <si>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</si>
  <si>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</si>
  <si>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</si>
  <si>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</si>
  <si>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</si>
  <si>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</si>
  <si>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</si>
  <si>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</si>
  <si>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</si>
  <si>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</si>
  <si>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</si>
  <si>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</si>
  <si>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</si>
  <si>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</si>
  <si>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</si>
  <si>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</si>
  <si>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</si>
  <si>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</si>
  <si>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</si>
  <si>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</si>
  <si>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</si>
  <si>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</si>
  <si>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</si>
  <si>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</si>
  <si>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</si>
  <si>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</si>
  <si>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</si>
  <si>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</si>
  <si>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</si>
  <si>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</si>
  <si>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</si>
  <si>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</si>
  <si>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 xml:space="preserve">Udvidelser af forsyningsområde </t>
  </si>
  <si>
    <t>Separeringsprojekter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</si>
  <si>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</si>
  <si>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</si>
  <si>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</si>
  <si>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</si>
  <si>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</si>
  <si>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</si>
  <si>
    <t>Oprensning af bassiner</t>
  </si>
  <si>
    <t>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</si>
</sst>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 xr:uid="{00000000-0005-0000-0000-000003000000}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81" t="s">
        <v>285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5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245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17</v>
      </c>
      <c r="D14" s="70" t="s">
        <v>246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37</v>
      </c>
      <c r="D15" s="70" t="s">
        <v>160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38</v>
      </c>
      <c r="D16" s="70" t="s">
        <v>247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144</v>
      </c>
      <c r="D17" s="70" t="s">
        <v>248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124</v>
      </c>
      <c r="D18" s="82" t="s">
        <v>110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125</v>
      </c>
      <c r="D19" s="82" t="s">
        <v>111</v>
      </c>
      <c r="E19" s="83"/>
      <c r="F19" s="83"/>
      <c r="G19" s="84"/>
      <c r="H19" s="1"/>
      <c r="I19" s="1"/>
    </row>
    <row r="20" spans="1:9" x14ac:dyDescent="0.25">
      <c r="A20" s="1"/>
      <c r="B20" s="1"/>
      <c r="C20" s="6" t="s">
        <v>7</v>
      </c>
      <c r="D20" s="82" t="s">
        <v>10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126</v>
      </c>
      <c r="D21" s="74" t="s">
        <v>13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91</v>
      </c>
      <c r="D22" s="77" t="s">
        <v>249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8</v>
      </c>
      <c r="D23" s="77" t="s">
        <v>195</v>
      </c>
      <c r="E23" s="78"/>
      <c r="F23" s="78"/>
      <c r="G23" s="79"/>
      <c r="H23" s="1"/>
      <c r="I23" s="1"/>
    </row>
    <row r="24" spans="1:9" x14ac:dyDescent="0.25">
      <c r="A24" s="1"/>
      <c r="B24" s="1"/>
      <c r="C24" s="6" t="s">
        <v>9</v>
      </c>
      <c r="D24" s="77" t="s">
        <v>39</v>
      </c>
      <c r="E24" s="78"/>
      <c r="F24" s="78"/>
      <c r="G24" s="79"/>
      <c r="H24" s="1"/>
      <c r="I24" s="1"/>
    </row>
    <row r="25" spans="1:9" x14ac:dyDescent="0.25">
      <c r="A25" s="1"/>
      <c r="B25" s="1"/>
      <c r="C25" s="6" t="s">
        <v>127</v>
      </c>
      <c r="D25" s="77" t="s">
        <v>92</v>
      </c>
      <c r="E25" s="78"/>
      <c r="F25" s="78"/>
      <c r="G25" s="79"/>
      <c r="H25" s="1"/>
      <c r="I25" s="1"/>
    </row>
    <row r="26" spans="1:9" x14ac:dyDescent="0.25">
      <c r="A26" s="1"/>
      <c r="B26" s="1"/>
      <c r="C26" s="6" t="s">
        <v>128</v>
      </c>
      <c r="D26" s="77" t="s">
        <v>93</v>
      </c>
      <c r="E26" s="78"/>
      <c r="F26" s="78"/>
      <c r="G26" s="79"/>
      <c r="H26" s="1"/>
      <c r="I26" s="1"/>
    </row>
    <row r="27" spans="1:9" x14ac:dyDescent="0.25">
      <c r="A27" s="1"/>
      <c r="B27" s="1"/>
      <c r="C27" s="6" t="s">
        <v>129</v>
      </c>
      <c r="D27" s="77" t="s">
        <v>94</v>
      </c>
      <c r="E27" s="78"/>
      <c r="F27" s="78"/>
      <c r="G27" s="79"/>
      <c r="H27" s="1"/>
      <c r="I27" s="1"/>
    </row>
    <row r="28" spans="1:9" x14ac:dyDescent="0.25">
      <c r="A28" s="1"/>
      <c r="B28" s="1"/>
      <c r="C28" s="6" t="s">
        <v>16</v>
      </c>
      <c r="D28" s="77" t="s">
        <v>161</v>
      </c>
      <c r="E28" s="78"/>
      <c r="F28" s="78"/>
      <c r="G28" s="79"/>
      <c r="H28" s="1"/>
      <c r="I28" s="1"/>
    </row>
    <row r="29" spans="1:9" x14ac:dyDescent="0.25">
      <c r="A29" s="1"/>
      <c r="B29" s="1"/>
      <c r="C29" s="6" t="s">
        <v>41</v>
      </c>
      <c r="D29" s="77" t="s">
        <v>40</v>
      </c>
      <c r="E29" s="78"/>
      <c r="F29" s="78"/>
      <c r="G29" s="79"/>
      <c r="H29" s="1"/>
      <c r="I29" s="1"/>
    </row>
    <row r="30" spans="1:9" x14ac:dyDescent="0.25">
      <c r="A30" s="1"/>
      <c r="B30" s="1"/>
      <c r="C30" s="6" t="s">
        <v>42</v>
      </c>
      <c r="D30" s="85" t="s">
        <v>123</v>
      </c>
      <c r="E30" s="86"/>
      <c r="F30" s="86"/>
      <c r="G30" s="8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aPQaq5O/rB6EQmXqbhrbv1177NaBKMdp7SUGF79fb6v1vQyVmdUIYhOhAGmWEVOEk8gbabFV7vE0ymnfoedxw==" saltValue="Ftl1wM0T3DMLw0f3+h2V/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 xr:uid="{00000000-0004-0000-0000-000000000000}"/>
    <hyperlink ref="D25:G25" location="'Fane 10.1. Varige tillæg'!A1" display="Varige tillæg" xr:uid="{00000000-0004-0000-0000-000001000000}"/>
    <hyperlink ref="D28:G28" location="'Fane 12. Tilknyttet virksomhed'!A1" display="Tilknyttet virksomhed" xr:uid="{00000000-0004-0000-0000-000002000000}"/>
    <hyperlink ref="D29:G29" location="'Fane 13. Bortfald'!A1" display="Bortfald" xr:uid="{00000000-0004-0000-0000-000003000000}"/>
    <hyperlink ref="D13:G13" location="'Fane 2.1. Økonomisk ramme 2022'!A1" display="Samlet økonomisk ramme for 2021" xr:uid="{00000000-0004-0000-0000-000004000000}"/>
    <hyperlink ref="D16:G16" location="'Fane 2.4. Økonomisk ramme 2025'!A1" display="Vejledende økonomisk ramme for 2024" xr:uid="{00000000-0004-0000-0000-000005000000}"/>
    <hyperlink ref="D15:G15" location="'Fane 2.3. Økonomisk ramme 2024'!A1" display="Vejledende økonomisk ramme for 2023" xr:uid="{00000000-0004-0000-0000-000006000000}"/>
    <hyperlink ref="D22:G22" location="'Fane 7. Kontrol af ØR2020'!A1" display="Kontrol af den økonomiske ramme for 2019" xr:uid="{00000000-0004-0000-0000-000007000000}"/>
    <hyperlink ref="D24:G24" location="'Fane 9. Anlægsprojekter'!A1" display="Anlægsprojekter" xr:uid="{00000000-0004-0000-0000-000008000000}"/>
    <hyperlink ref="D30:G30" location="'Fane 14. Nøgletal'!A1" display="Nøgletal" xr:uid="{00000000-0004-0000-0000-000009000000}"/>
    <hyperlink ref="D17:G17" location="'Fane 3. Omkostninger i ØR2021'!A1" display="Omkostninger i ØR2020" xr:uid="{00000000-0004-0000-0000-00000A000000}"/>
    <hyperlink ref="D26:G26" location="'Fane 10.2. Engangstillæg'!A1" display="Engangstillæg" xr:uid="{00000000-0004-0000-0000-00000B000000}"/>
    <hyperlink ref="D27:G27" location="'Fane 11. Periodevise driftsomk.'!A1" display="Periodevise driftsomkostninger" xr:uid="{00000000-0004-0000-0000-00000C000000}"/>
    <hyperlink ref="D23:G23" location="'Fane 6. Korrektion af ØR2020" display="Korrektion af den økonomiske ramme for 2019" xr:uid="{00000000-0004-0000-0000-00000D000000}"/>
    <hyperlink ref="D21:G21" location="'Fane 6. Ikke-påvirkelige omk.'!A1" display="Ikke-påvirkelige omkostninger" xr:uid="{00000000-0004-0000-0000-00000E000000}"/>
    <hyperlink ref="D18:G18" location="'Fane 4.1. Gen. krav - drift'!A1" display="Generelt effektiviseringskrav på drift" xr:uid="{00000000-0004-0000-0000-00000F000000}"/>
    <hyperlink ref="D20:G20" location="'Fane 5. Individuelt eff. krav'!A1" display="Individuelt effektiviseringskrav" xr:uid="{00000000-0004-0000-0000-000010000000}"/>
    <hyperlink ref="D19:G19" location="'Fane 4.2. Gen. krav - anlæg'!A1" display="Generelt effektiviseringskrav på anlæg" xr:uid="{00000000-0004-0000-0000-000011000000}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132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208</v>
      </c>
      <c r="C8" s="97"/>
      <c r="D8" s="98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6" t="s">
        <v>262</v>
      </c>
      <c r="C10" s="9">
        <v>1479366</v>
      </c>
      <c r="D10" s="14" t="s">
        <v>3</v>
      </c>
      <c r="E10" s="1"/>
      <c r="F10" s="1"/>
    </row>
    <row r="11" spans="1:6" x14ac:dyDescent="0.25">
      <c r="A11" s="1"/>
      <c r="B11" s="66" t="s">
        <v>263</v>
      </c>
      <c r="C11" s="9">
        <v>103181</v>
      </c>
      <c r="D11" s="14" t="s">
        <v>3</v>
      </c>
      <c r="E11" s="1"/>
      <c r="F11" s="1"/>
    </row>
    <row r="12" spans="1:6" x14ac:dyDescent="0.25">
      <c r="A12" s="1"/>
      <c r="B12" s="66" t="s">
        <v>288</v>
      </c>
      <c r="C12" s="9">
        <v>369417</v>
      </c>
      <c r="D12" s="14" t="s">
        <v>3</v>
      </c>
      <c r="E12" s="1"/>
      <c r="F12" s="1"/>
    </row>
    <row r="13" spans="1:6" x14ac:dyDescent="0.25">
      <c r="A13" s="1"/>
      <c r="B13" s="66" t="s">
        <v>264</v>
      </c>
      <c r="C13" s="9">
        <v>870307</v>
      </c>
      <c r="D13" s="14" t="s">
        <v>3</v>
      </c>
      <c r="E13" s="1"/>
      <c r="F13" s="1"/>
    </row>
    <row r="14" spans="1:6" x14ac:dyDescent="0.25">
      <c r="A14" s="1"/>
      <c r="B14" s="66" t="s">
        <v>265</v>
      </c>
      <c r="C14" s="9">
        <v>277507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3099778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3120270.2913824203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6" t="s">
        <v>142</v>
      </c>
      <c r="C19" s="97"/>
      <c r="D19" s="98"/>
      <c r="E19" s="1"/>
      <c r="F19" s="1"/>
    </row>
    <row r="20" spans="1:6" x14ac:dyDescent="0.25">
      <c r="A20" s="1"/>
      <c r="B20" s="66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6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6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6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6"/>
      <c r="C24" s="97"/>
      <c r="D24" s="9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6" t="s">
        <v>115</v>
      </c>
      <c r="C27" s="97"/>
      <c r="D27" s="98"/>
      <c r="E27" s="1"/>
      <c r="F27" s="1"/>
    </row>
    <row r="28" spans="1:6" x14ac:dyDescent="0.25">
      <c r="A28" s="1"/>
      <c r="B28" s="66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6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6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6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6"/>
      <c r="C32" s="97"/>
      <c r="D32" s="9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qgZ9JUQ7XC2LyAPgJIvM8sNvbsBVN6i913UsOy6aygfdFrasrek02rvUCbYjWWR5zXVylRviGH/+ORnAtdqjzQ==" saltValue="xpCkI5Tclr8VfPIY3+Uhl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2"/>
  <dimension ref="A1:H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8" width="9.85546875" style="2" bestFit="1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212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267</v>
      </c>
      <c r="C8" s="97"/>
      <c r="D8" s="97"/>
      <c r="E8" s="97"/>
      <c r="F8" s="98"/>
      <c r="G8" s="1"/>
    </row>
    <row r="9" spans="1:7" x14ac:dyDescent="0.25">
      <c r="A9" s="1"/>
      <c r="B9" s="105" t="s">
        <v>268</v>
      </c>
      <c r="C9" s="106"/>
      <c r="D9" s="107"/>
      <c r="E9" s="9">
        <v>17737519.451535881</v>
      </c>
      <c r="F9" s="14" t="s">
        <v>3</v>
      </c>
      <c r="G9" s="1"/>
    </row>
    <row r="10" spans="1:7" x14ac:dyDescent="0.25">
      <c r="A10" s="1"/>
      <c r="B10" s="105" t="s">
        <v>269</v>
      </c>
      <c r="C10" s="106"/>
      <c r="D10" s="107"/>
      <c r="E10" s="9">
        <v>-40280586.102919519</v>
      </c>
      <c r="F10" s="14" t="s">
        <v>3</v>
      </c>
      <c r="G10" s="1"/>
    </row>
    <row r="11" spans="1:7" x14ac:dyDescent="0.25">
      <c r="A11" s="1"/>
      <c r="B11" s="105" t="s">
        <v>270</v>
      </c>
      <c r="C11" s="106"/>
      <c r="D11" s="107"/>
      <c r="E11" s="9">
        <v>-22543066.651383638</v>
      </c>
      <c r="F11" s="14" t="s">
        <v>3</v>
      </c>
      <c r="G11" s="1"/>
    </row>
    <row r="12" spans="1:7" x14ac:dyDescent="0.25">
      <c r="A12" s="1"/>
      <c r="B12" s="105" t="s">
        <v>271</v>
      </c>
      <c r="C12" s="106"/>
      <c r="D12" s="107"/>
      <c r="E12" s="9">
        <v>-6047173.5782356262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9" t="s">
        <v>272</v>
      </c>
      <c r="C14" s="100"/>
      <c r="D14" s="100"/>
      <c r="E14" s="100"/>
      <c r="F14" s="10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273</v>
      </c>
      <c r="C16" s="97"/>
      <c r="D16" s="97"/>
      <c r="E16" s="97"/>
      <c r="F16" s="98"/>
      <c r="G16" s="1"/>
    </row>
    <row r="17" spans="1:8" x14ac:dyDescent="0.25">
      <c r="A17" s="1"/>
      <c r="B17" s="105" t="s">
        <v>274</v>
      </c>
      <c r="C17" s="106"/>
      <c r="D17" s="107"/>
      <c r="E17" s="9">
        <v>-3023587</v>
      </c>
      <c r="F17" s="14" t="s">
        <v>3</v>
      </c>
      <c r="G17" s="1"/>
      <c r="H17" s="49"/>
    </row>
    <row r="18" spans="1:8" x14ac:dyDescent="0.25">
      <c r="A18" s="1"/>
      <c r="B18" s="105" t="s">
        <v>275</v>
      </c>
      <c r="C18" s="106"/>
      <c r="D18" s="107"/>
      <c r="E18" s="9">
        <v>-3023587</v>
      </c>
      <c r="F18" s="14" t="s">
        <v>3</v>
      </c>
      <c r="G18" s="1"/>
    </row>
    <row r="19" spans="1:8" x14ac:dyDescent="0.25">
      <c r="A19" s="1"/>
      <c r="B19" s="38"/>
      <c r="C19" s="32"/>
      <c r="D19" s="32"/>
      <c r="E19" s="32"/>
      <c r="F19" s="20"/>
      <c r="G19" s="1"/>
    </row>
    <row r="20" spans="1:8" ht="29.25" customHeight="1" x14ac:dyDescent="0.25">
      <c r="A20" s="1"/>
      <c r="B20" s="99" t="s">
        <v>276</v>
      </c>
      <c r="C20" s="100"/>
      <c r="D20" s="100"/>
      <c r="E20" s="100"/>
      <c r="F20" s="101"/>
      <c r="G20" s="1"/>
    </row>
    <row r="21" spans="1:8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58" t="s">
        <v>213</v>
      </c>
      <c r="C22" s="59"/>
      <c r="D22" s="59"/>
      <c r="E22" s="59"/>
      <c r="F22" s="60"/>
      <c r="G22" s="1"/>
    </row>
    <row r="23" spans="1:8" x14ac:dyDescent="0.25">
      <c r="A23" s="1"/>
      <c r="B23" s="63" t="s">
        <v>214</v>
      </c>
      <c r="C23" s="64"/>
      <c r="D23" s="65"/>
      <c r="E23" s="9">
        <v>160681487.07021871</v>
      </c>
      <c r="F23" s="14" t="s">
        <v>3</v>
      </c>
      <c r="G23" s="1"/>
    </row>
    <row r="24" spans="1:8" x14ac:dyDescent="0.25">
      <c r="A24" s="1"/>
      <c r="B24" s="63" t="s">
        <v>215</v>
      </c>
      <c r="C24" s="64"/>
      <c r="D24" s="65"/>
      <c r="E24" s="9">
        <v>158122055</v>
      </c>
      <c r="F24" s="14" t="s">
        <v>3</v>
      </c>
      <c r="G24" s="1"/>
    </row>
    <row r="25" spans="1:8" x14ac:dyDescent="0.25">
      <c r="A25" s="1"/>
      <c r="B25" s="63" t="s">
        <v>36</v>
      </c>
      <c r="C25" s="64"/>
      <c r="D25" s="65"/>
      <c r="E25" s="9">
        <v>212383</v>
      </c>
      <c r="F25" s="14" t="s">
        <v>3</v>
      </c>
      <c r="G25" s="1"/>
    </row>
    <row r="26" spans="1:8" x14ac:dyDescent="0.25">
      <c r="A26" s="1"/>
      <c r="B26" s="61" t="s">
        <v>277</v>
      </c>
      <c r="C26" s="62"/>
      <c r="D26" s="68"/>
      <c r="E26" s="48">
        <f>E23-(E24-E25)</f>
        <v>2771815.0702187121</v>
      </c>
      <c r="F26" s="17" t="s">
        <v>3</v>
      </c>
      <c r="G26" s="1"/>
    </row>
    <row r="27" spans="1:8" x14ac:dyDescent="0.25">
      <c r="A27" s="1"/>
      <c r="B27" s="38"/>
      <c r="C27" s="32"/>
      <c r="D27" s="32"/>
      <c r="E27" s="32"/>
      <c r="F27" s="20"/>
      <c r="G27" s="1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"/>
      <c r="C29" s="1"/>
      <c r="D29" s="1"/>
      <c r="E29" s="1"/>
      <c r="F29" s="1"/>
      <c r="G29" s="1"/>
    </row>
    <row r="30" spans="1:8" x14ac:dyDescent="0.25">
      <c r="A30" s="1"/>
      <c r="B30" s="96" t="s">
        <v>186</v>
      </c>
      <c r="C30" s="97"/>
      <c r="D30" s="97"/>
      <c r="E30" s="97"/>
      <c r="F30" s="98"/>
      <c r="G30" s="1"/>
    </row>
    <row r="31" spans="1:8" x14ac:dyDescent="0.25">
      <c r="A31" s="1"/>
      <c r="B31" s="117" t="s">
        <v>283</v>
      </c>
      <c r="C31" s="118"/>
      <c r="D31" s="119"/>
      <c r="E31" s="9">
        <v>0</v>
      </c>
      <c r="F31" s="14"/>
      <c r="G31" s="1"/>
    </row>
    <row r="32" spans="1:8" x14ac:dyDescent="0.25">
      <c r="A32" s="1"/>
      <c r="B32" s="117" t="s">
        <v>187</v>
      </c>
      <c r="C32" s="118"/>
      <c r="D32" s="119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-6047174</v>
      </c>
      <c r="F32" s="14" t="s">
        <v>3</v>
      </c>
      <c r="G32" s="1"/>
    </row>
    <row r="33" spans="1:7" x14ac:dyDescent="0.25">
      <c r="A33" s="1"/>
      <c r="B33" s="117" t="s">
        <v>120</v>
      </c>
      <c r="C33" s="118"/>
      <c r="D33" s="119"/>
      <c r="E33" s="9">
        <v>2</v>
      </c>
      <c r="F33" s="14" t="s">
        <v>21</v>
      </c>
      <c r="G33" s="1"/>
    </row>
    <row r="34" spans="1:7" x14ac:dyDescent="0.25">
      <c r="A34" s="1"/>
      <c r="B34" s="120" t="s">
        <v>188</v>
      </c>
      <c r="C34" s="120"/>
      <c r="D34" s="120"/>
      <c r="E34" s="10">
        <f>E32/E33</f>
        <v>-3023587</v>
      </c>
      <c r="F34" s="17" t="s">
        <v>3</v>
      </c>
      <c r="G34" s="1"/>
    </row>
    <row r="35" spans="1:7" x14ac:dyDescent="0.25">
      <c r="A35" s="1"/>
      <c r="B35" s="121"/>
      <c r="C35" s="122"/>
      <c r="D35" s="122"/>
      <c r="E35" s="122"/>
      <c r="F35" s="123"/>
      <c r="G35" s="1"/>
    </row>
    <row r="36" spans="1:7" ht="75" customHeight="1" x14ac:dyDescent="0.25">
      <c r="A36" s="1"/>
      <c r="B36" s="99" t="s">
        <v>282</v>
      </c>
      <c r="C36" s="100"/>
      <c r="D36" s="100"/>
      <c r="E36" s="100"/>
      <c r="F36" s="10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nou9k4PcjUAna4uUk9e1PXdweNczrJPwQSCPps5h6f6c/aQbu8UKZxjuRkIE31Tz0YmocaIDU0QzrgO5gkFxsQ==" saltValue="CbHuOukhZwOFq+c6WjO1tQ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216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217</v>
      </c>
      <c r="C9" s="97"/>
      <c r="D9" s="97"/>
      <c r="E9" s="97"/>
      <c r="F9" s="98"/>
      <c r="G9" s="1"/>
    </row>
    <row r="10" spans="1:7" x14ac:dyDescent="0.25">
      <c r="A10" s="1"/>
      <c r="B10" s="99" t="s">
        <v>118</v>
      </c>
      <c r="C10" s="100"/>
      <c r="D10" s="101"/>
      <c r="E10" s="7">
        <v>0</v>
      </c>
      <c r="F10" s="8" t="s">
        <v>3</v>
      </c>
      <c r="G10" s="1"/>
    </row>
    <row r="11" spans="1:7" x14ac:dyDescent="0.25">
      <c r="A11" s="1"/>
      <c r="B11" s="105" t="s">
        <v>218</v>
      </c>
      <c r="C11" s="106"/>
      <c r="D11" s="107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4"/>
      <c r="E12" s="10">
        <f>E11-E10</f>
        <v>0</v>
      </c>
      <c r="F12" s="11" t="s">
        <v>3</v>
      </c>
      <c r="G12" s="1"/>
    </row>
    <row r="13" spans="1:7" x14ac:dyDescent="0.25">
      <c r="A13" s="1"/>
      <c r="B13" s="96" t="s">
        <v>109</v>
      </c>
      <c r="C13" s="97"/>
      <c r="D13" s="97"/>
      <c r="E13" s="97"/>
      <c r="F13" s="98"/>
      <c r="G13" s="1"/>
    </row>
    <row r="14" spans="1:7" x14ac:dyDescent="0.25">
      <c r="A14" s="1"/>
      <c r="B14" s="105" t="s">
        <v>219</v>
      </c>
      <c r="C14" s="106"/>
      <c r="D14" s="107"/>
      <c r="E14" s="9">
        <v>0</v>
      </c>
      <c r="F14" s="8" t="s">
        <v>3</v>
      </c>
      <c r="G14" s="1"/>
    </row>
    <row r="15" spans="1:7" x14ac:dyDescent="0.25">
      <c r="A15" s="1"/>
      <c r="B15" s="99" t="s">
        <v>220</v>
      </c>
      <c r="C15" s="100"/>
      <c r="D15" s="101"/>
      <c r="E15" s="9">
        <v>0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4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rNlcw7hHOJQh/ICFq8ZVzVBgzAo6qjyPqK3cuKTGBihSj6TUzP2ZpzxKr+9SffMmMJ2+3FU5OyUpYr81vvvQw==" saltValue="O34kJaFBON5sqBUacWPQC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177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178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9" t="s">
        <v>284</v>
      </c>
      <c r="C10" s="5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6" t="s">
        <v>179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CXbx9YItge99MdLZtHT8w37UhGhBR0PMkEeadgqf0OpazU+lFepC/W/0gcqiLOna5lCqr0DJI3wPKxv8MS5Gw==" saltValue="ufqeOBoycMlf+6ceUoNVf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6" t="s">
        <v>18</v>
      </c>
      <c r="C9" s="56" t="s">
        <v>12</v>
      </c>
      <c r="D9" s="57"/>
      <c r="E9" s="56" t="s">
        <v>34</v>
      </c>
      <c r="F9" s="37"/>
      <c r="G9" s="1"/>
    </row>
    <row r="10" spans="1:7" ht="17.25" customHeight="1" x14ac:dyDescent="0.25">
      <c r="A10" s="1"/>
      <c r="B10" s="25" t="s">
        <v>180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ht="17.25" customHeight="1" x14ac:dyDescent="0.25">
      <c r="A11" s="1"/>
      <c r="B11" s="25" t="s">
        <v>280</v>
      </c>
      <c r="C11" s="22">
        <v>36570</v>
      </c>
      <c r="D11" s="14" t="s">
        <v>3</v>
      </c>
      <c r="E11" s="9">
        <v>674339</v>
      </c>
      <c r="F11" s="14" t="s">
        <v>3</v>
      </c>
      <c r="G11" s="1"/>
    </row>
    <row r="12" spans="1:7" ht="17.25" customHeight="1" x14ac:dyDescent="0.25">
      <c r="A12" s="1"/>
      <c r="B12" s="25" t="s">
        <v>279</v>
      </c>
      <c r="C12" s="22">
        <v>15486</v>
      </c>
      <c r="D12" s="14" t="s">
        <v>3</v>
      </c>
      <c r="E12" s="9">
        <v>147149</v>
      </c>
      <c r="F12" s="14" t="s">
        <v>3</v>
      </c>
      <c r="G12" s="1"/>
    </row>
    <row r="13" spans="1:7" ht="17.25" customHeight="1" x14ac:dyDescent="0.25">
      <c r="A13" s="1"/>
      <c r="B13" s="25" t="s">
        <v>287</v>
      </c>
      <c r="C13" s="22">
        <v>30487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38" t="s">
        <v>163</v>
      </c>
      <c r="C14" s="12">
        <f>SUM(C10:C13)</f>
        <v>82543</v>
      </c>
      <c r="D14" s="13" t="s">
        <v>3</v>
      </c>
      <c r="E14" s="12">
        <f>SUM(E10:E13)</f>
        <v>821488</v>
      </c>
      <c r="F14" s="13" t="s">
        <v>3</v>
      </c>
      <c r="G14" s="1"/>
    </row>
    <row r="15" spans="1:7" x14ac:dyDescent="0.25">
      <c r="A15" s="1"/>
      <c r="B15" s="38" t="s">
        <v>222</v>
      </c>
      <c r="C15" s="12">
        <f>C14*(1+'Fane 14. Nøgletal'!C14)</f>
        <v>82815.391900000002</v>
      </c>
      <c r="D15" s="13" t="s">
        <v>3</v>
      </c>
      <c r="E15" s="12">
        <f>E14*(1+'Fane 14. Nøgletal'!C14)</f>
        <v>824198.91040000005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xbTFKyiI8LST81//ZX5NTcROr8k55qIyFJHIjXS0o/PaxzKNU+Sj8iB5p6Xj7oa9aBxtHKX3FekpOBbdskSVxw==" saltValue="N4ZxgFacBkVhgQ9dRZLiW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112</v>
      </c>
      <c r="C8" s="97"/>
      <c r="D8" s="97"/>
      <c r="E8" s="97"/>
      <c r="F8" s="98"/>
      <c r="G8" s="1"/>
    </row>
    <row r="9" spans="1:7" x14ac:dyDescent="0.25">
      <c r="A9" s="1"/>
      <c r="B9" s="56" t="s">
        <v>18</v>
      </c>
      <c r="C9" s="56" t="s">
        <v>12</v>
      </c>
      <c r="D9" s="57"/>
      <c r="E9" s="56" t="s">
        <v>34</v>
      </c>
      <c r="F9" s="37"/>
      <c r="G9" s="1"/>
    </row>
    <row r="10" spans="1:7" x14ac:dyDescent="0.25">
      <c r="A10" s="1"/>
      <c r="B10" s="25" t="s">
        <v>281</v>
      </c>
      <c r="C10" s="22">
        <v>457298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457298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-5749.7417881295032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-9145.9600000000009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445326.97114109644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113</v>
      </c>
      <c r="C16" s="97"/>
      <c r="D16" s="97"/>
      <c r="E16" s="97"/>
      <c r="F16" s="98"/>
      <c r="G16" s="1"/>
    </row>
    <row r="17" spans="1:7" x14ac:dyDescent="0.25">
      <c r="A17" s="1"/>
      <c r="B17" s="56" t="s">
        <v>18</v>
      </c>
      <c r="C17" s="56" t="s">
        <v>12</v>
      </c>
      <c r="D17" s="57"/>
      <c r="E17" s="56" t="s">
        <v>34</v>
      </c>
      <c r="F17" s="37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166</v>
      </c>
      <c r="C24" s="97"/>
      <c r="D24" s="97"/>
      <c r="E24" s="97"/>
      <c r="F24" s="98"/>
      <c r="G24" s="1"/>
    </row>
    <row r="25" spans="1:7" x14ac:dyDescent="0.25">
      <c r="A25" s="1"/>
      <c r="B25" s="56" t="s">
        <v>18</v>
      </c>
      <c r="C25" s="56" t="s">
        <v>12</v>
      </c>
      <c r="D25" s="57"/>
      <c r="E25" s="56" t="s">
        <v>34</v>
      </c>
      <c r="F25" s="37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224</v>
      </c>
      <c r="C32" s="97"/>
      <c r="D32" s="97"/>
      <c r="E32" s="97"/>
      <c r="F32" s="98"/>
      <c r="G32" s="1"/>
    </row>
    <row r="33" spans="1:7" x14ac:dyDescent="0.25">
      <c r="A33" s="1"/>
      <c r="B33" s="56" t="s">
        <v>18</v>
      </c>
      <c r="C33" s="56" t="s">
        <v>12</v>
      </c>
      <c r="D33" s="57"/>
      <c r="E33" s="56" t="s">
        <v>34</v>
      </c>
      <c r="F33" s="37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j97KShLts5tQUDaqY2RjJ1QZ/PGzCiZrvbpdiQwhO4lKeD4VqD/CXNpss0Yh2jqBolth+w/1JWXBxhFiHR6Eg==" saltValue="eS8ShjWQZJS5fJ0+Z1Lf+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136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04"/>
      <c r="C5" s="104"/>
      <c r="D5" s="104"/>
      <c r="E5" s="104"/>
      <c r="F5" s="10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103</v>
      </c>
      <c r="C8" s="97"/>
      <c r="D8" s="97"/>
      <c r="E8" s="97"/>
      <c r="F8" s="98"/>
      <c r="G8" s="1"/>
    </row>
    <row r="9" spans="1:7" x14ac:dyDescent="0.25">
      <c r="A9" s="1"/>
      <c r="B9" s="125" t="s">
        <v>226</v>
      </c>
      <c r="C9" s="126"/>
      <c r="D9" s="127"/>
      <c r="E9" s="9">
        <v>0</v>
      </c>
      <c r="F9" s="14" t="s">
        <v>3</v>
      </c>
      <c r="G9" s="1"/>
    </row>
    <row r="10" spans="1:7" x14ac:dyDescent="0.25">
      <c r="A10" s="1"/>
      <c r="B10" s="90" t="s">
        <v>10</v>
      </c>
      <c r="C10" s="91"/>
      <c r="D10" s="92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0" t="s">
        <v>26</v>
      </c>
      <c r="C11" s="91"/>
      <c r="D11" s="92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6" t="s">
        <v>105</v>
      </c>
      <c r="C12" s="97"/>
      <c r="D12" s="98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104</v>
      </c>
      <c r="C14" s="97"/>
      <c r="D14" s="97"/>
      <c r="E14" s="97"/>
      <c r="F14" s="98"/>
      <c r="G14" s="1"/>
    </row>
    <row r="15" spans="1:7" ht="15" customHeight="1" x14ac:dyDescent="0.25">
      <c r="A15" s="1"/>
      <c r="B15" s="125" t="s">
        <v>226</v>
      </c>
      <c r="C15" s="126"/>
      <c r="D15" s="127"/>
      <c r="E15" s="9">
        <v>0</v>
      </c>
      <c r="F15" s="14" t="s">
        <v>3</v>
      </c>
      <c r="G15" s="1"/>
    </row>
    <row r="16" spans="1:7" x14ac:dyDescent="0.25">
      <c r="A16" s="1"/>
      <c r="B16" s="90" t="s">
        <v>10</v>
      </c>
      <c r="C16" s="91"/>
      <c r="D16" s="92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0" t="s">
        <v>26</v>
      </c>
      <c r="C17" s="91"/>
      <c r="D17" s="92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6" t="s">
        <v>106</v>
      </c>
      <c r="C18" s="97"/>
      <c r="D18" s="98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155</v>
      </c>
      <c r="C20" s="97"/>
      <c r="D20" s="97"/>
      <c r="E20" s="97"/>
      <c r="F20" s="98"/>
      <c r="G20" s="1"/>
    </row>
    <row r="21" spans="1:7" ht="15" customHeight="1" x14ac:dyDescent="0.25">
      <c r="A21" s="1"/>
      <c r="B21" s="125" t="s">
        <v>226</v>
      </c>
      <c r="C21" s="126"/>
      <c r="D21" s="127"/>
      <c r="E21" s="9">
        <v>0</v>
      </c>
      <c r="F21" s="14" t="s">
        <v>3</v>
      </c>
      <c r="G21" s="1"/>
    </row>
    <row r="22" spans="1:7" x14ac:dyDescent="0.25">
      <c r="A22" s="1"/>
      <c r="B22" s="90" t="s">
        <v>10</v>
      </c>
      <c r="C22" s="91"/>
      <c r="D22" s="92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0" t="s">
        <v>26</v>
      </c>
      <c r="C23" s="91"/>
      <c r="D23" s="92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6" t="s">
        <v>156</v>
      </c>
      <c r="C24" s="97"/>
      <c r="D24" s="98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227</v>
      </c>
      <c r="C26" s="97"/>
      <c r="D26" s="97"/>
      <c r="E26" s="97"/>
      <c r="F26" s="98"/>
      <c r="G26" s="1"/>
    </row>
    <row r="27" spans="1:7" ht="15" customHeight="1" x14ac:dyDescent="0.25">
      <c r="A27" s="1"/>
      <c r="B27" s="125" t="s">
        <v>226</v>
      </c>
      <c r="C27" s="126"/>
      <c r="D27" s="127"/>
      <c r="E27" s="9">
        <v>0</v>
      </c>
      <c r="F27" s="14" t="s">
        <v>3</v>
      </c>
      <c r="G27" s="1"/>
    </row>
    <row r="28" spans="1:7" x14ac:dyDescent="0.25">
      <c r="A28" s="1"/>
      <c r="B28" s="90" t="s">
        <v>10</v>
      </c>
      <c r="C28" s="91"/>
      <c r="D28" s="92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0" t="s">
        <v>26</v>
      </c>
      <c r="C29" s="91"/>
      <c r="D29" s="92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6" t="s">
        <v>228</v>
      </c>
      <c r="C30" s="97"/>
      <c r="D30" s="98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oywBBl3Soy5tyq0I2fVqaQPH8C7E9Kd7/wkDVbzOTdo45VItfXuFULNyR/p7dK7xOz1EF+cPSTDI3gSGvIi9Q==" saltValue="paB9seA4lNRWU1qgYKW3x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157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158</v>
      </c>
      <c r="C8" s="97"/>
      <c r="D8" s="97"/>
      <c r="E8" s="97"/>
      <c r="F8" s="98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mQkJKqulghE8jySwXZJ4FuVU5rgB7kX5JpKdgZxhxLpb5jfO2IcZyI1KY1dlF7qxt0cWWO2ceBEidZc8IJAnkg==" saltValue="ZPVle1vlIiH5LeghD4zLm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133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107</v>
      </c>
      <c r="C8" s="97"/>
      <c r="D8" s="97"/>
      <c r="E8" s="97"/>
      <c r="F8" s="9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108</v>
      </c>
      <c r="C14" s="97"/>
      <c r="D14" s="97"/>
      <c r="E14" s="97"/>
      <c r="F14" s="9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169</v>
      </c>
      <c r="C20" s="97"/>
      <c r="D20" s="97"/>
      <c r="E20" s="97"/>
      <c r="F20" s="9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231</v>
      </c>
      <c r="C26" s="97"/>
      <c r="D26" s="97"/>
      <c r="E26" s="97"/>
      <c r="F26" s="9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ERn0euBgtBS9+INhns4DzivyRI95L6GVQE3rr2Wd2Xu8Q2V5ev0qFEjFmUR3JclxIm2lsKr3+A5RTd/aS03Gw==" saltValue="Foq7UH7JGQnft3P/PGIjL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4" t="s">
        <v>189</v>
      </c>
      <c r="C3" s="104"/>
      <c r="D3" s="1"/>
    </row>
    <row r="4" spans="1:4" ht="25.5" customHeight="1" x14ac:dyDescent="0.25">
      <c r="A4" s="1"/>
      <c r="B4" s="104"/>
      <c r="C4" s="10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6" t="s">
        <v>137</v>
      </c>
      <c r="C9" s="26">
        <v>1.2699999999999999E-2</v>
      </c>
      <c r="D9" s="1"/>
    </row>
    <row r="10" spans="1:4" x14ac:dyDescent="0.25">
      <c r="A10" s="1"/>
      <c r="B10" s="66" t="s">
        <v>138</v>
      </c>
      <c r="C10" s="26">
        <v>1.7500000000000002E-2</v>
      </c>
      <c r="D10" s="1"/>
    </row>
    <row r="11" spans="1:4" x14ac:dyDescent="0.25">
      <c r="A11" s="1"/>
      <c r="B11" s="66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6" t="s">
        <v>253</v>
      </c>
      <c r="C14" s="51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6" t="s">
        <v>139</v>
      </c>
      <c r="C19" s="23">
        <v>9.1000000000000004E-3</v>
      </c>
      <c r="D19" s="1"/>
    </row>
    <row r="20" spans="1:4" x14ac:dyDescent="0.25">
      <c r="A20" s="1"/>
      <c r="B20" s="66" t="s">
        <v>190</v>
      </c>
      <c r="C20" s="23">
        <v>1.77E-2</v>
      </c>
      <c r="D20" s="1"/>
    </row>
    <row r="21" spans="1:4" x14ac:dyDescent="0.25">
      <c r="A21" s="1"/>
      <c r="B21" s="66" t="s">
        <v>191</v>
      </c>
      <c r="C21" s="23">
        <v>8.6999999999999994E-3</v>
      </c>
      <c r="D21" s="1"/>
    </row>
    <row r="22" spans="1:4" x14ac:dyDescent="0.25">
      <c r="A22" s="1"/>
      <c r="B22" s="66" t="s">
        <v>140</v>
      </c>
      <c r="C22" s="41">
        <v>2.8400000000000002E-2</v>
      </c>
      <c r="D22" s="1"/>
    </row>
    <row r="23" spans="1:4" x14ac:dyDescent="0.25">
      <c r="A23" s="1"/>
      <c r="B23" s="66" t="s">
        <v>192</v>
      </c>
      <c r="C23" s="41">
        <v>2.75E-2</v>
      </c>
      <c r="D23" s="1"/>
    </row>
    <row r="24" spans="1:4" x14ac:dyDescent="0.25">
      <c r="A24" s="1"/>
      <c r="B24" s="66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6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9Kg3vS9aYz+8r1PEV4BWijpihwn8E25MwUVrKzYhDRFb10DxOT9MfwXSajKVloqjQ6ps1mvFU7QSv+a6LjF8/Q==" saltValue="wnWnepoVK9vP7fC96c82S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158167083.60179085</v>
      </c>
      <c r="D9" s="8" t="s">
        <v>3</v>
      </c>
      <c r="E9" s="1"/>
    </row>
    <row r="10" spans="1:5" ht="17.100000000000001" customHeight="1" x14ac:dyDescent="0.25">
      <c r="A10" s="1"/>
      <c r="B10" s="55" t="s">
        <v>43</v>
      </c>
      <c r="C10" s="7">
        <f>'Fane 10.1. Varige tillæg'!C15</f>
        <v>82815.391900000002</v>
      </c>
      <c r="D10" s="8" t="s">
        <v>3</v>
      </c>
      <c r="E10" s="1"/>
    </row>
    <row r="11" spans="1:5" ht="17.100000000000001" customHeight="1" x14ac:dyDescent="0.25">
      <c r="A11" s="1"/>
      <c r="B11" s="55" t="s">
        <v>44</v>
      </c>
      <c r="C11" s="9">
        <f>'Fane 10.1. Varige tillæg'!E15</f>
        <v>824198.91040000005</v>
      </c>
      <c r="D11" s="8" t="s">
        <v>3</v>
      </c>
      <c r="E11" s="1"/>
    </row>
    <row r="12" spans="1:5" ht="17.100000000000001" customHeight="1" x14ac:dyDescent="0.25">
      <c r="A12" s="1"/>
      <c r="B12" s="55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5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5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5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5" t="s">
        <v>20</v>
      </c>
      <c r="C16" s="9">
        <f>SUM(C9:C15)*'Fane 14. Nøgletal'!C14</f>
        <v>524944.52308349975</v>
      </c>
      <c r="D16" s="8" t="s">
        <v>3</v>
      </c>
      <c r="E16" s="1"/>
    </row>
    <row r="17" spans="1:5" ht="17.100000000000001" customHeight="1" x14ac:dyDescent="0.25">
      <c r="A17" s="1"/>
      <c r="B17" s="55" t="s">
        <v>10</v>
      </c>
      <c r="C17" s="9">
        <f>-SUM(C9:C16)*'Fane 5. Individuelt eff. krav'!G12</f>
        <v>-2006685.5389461094</v>
      </c>
      <c r="D17" s="8" t="s">
        <v>3</v>
      </c>
      <c r="E17" s="1"/>
    </row>
    <row r="18" spans="1:5" ht="17.100000000000001" customHeight="1" x14ac:dyDescent="0.25">
      <c r="A18" s="1"/>
      <c r="B18" s="55" t="s">
        <v>26</v>
      </c>
      <c r="C18" s="9">
        <f>-'Fane 4.1. Gen. krav - drift'!G40</f>
        <v>-901270.15689993929</v>
      </c>
      <c r="D18" s="8" t="s">
        <v>3</v>
      </c>
      <c r="E18" s="1"/>
    </row>
    <row r="19" spans="1:5" ht="17.100000000000001" customHeight="1" x14ac:dyDescent="0.25">
      <c r="A19" s="1"/>
      <c r="B19" s="55" t="s">
        <v>27</v>
      </c>
      <c r="C19" s="9">
        <f>-'Fane 4.2. Gen. krav - anlæg'!G37</f>
        <v>-1736257.7407721998</v>
      </c>
      <c r="D19" s="8" t="s">
        <v>3</v>
      </c>
      <c r="E19" s="1"/>
    </row>
    <row r="20" spans="1:5" ht="17.100000000000001" customHeight="1" x14ac:dyDescent="0.25">
      <c r="A20" s="1"/>
      <c r="B20" s="61" t="s">
        <v>22</v>
      </c>
      <c r="C20" s="10">
        <f>SUM(C9:C19)</f>
        <v>154954828.99055612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3120270.2913824203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61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5" t="s">
        <v>89</v>
      </c>
      <c r="C26" s="9">
        <f>'Fane 10.2. Engangstillæg'!C14</f>
        <v>445326.97114109644</v>
      </c>
      <c r="D26" s="8" t="s">
        <v>3</v>
      </c>
      <c r="E26" s="1"/>
    </row>
    <row r="27" spans="1:5" ht="15" customHeight="1" x14ac:dyDescent="0.25">
      <c r="A27" s="1"/>
      <c r="B27" s="55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61" t="s">
        <v>95</v>
      </c>
      <c r="C28" s="10">
        <f>SUM(C26:C27)</f>
        <v>445326.97114109644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-3023587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7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155496839.25307962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XfoVYMVNeOrYimJKsX2/Op8tNFK8oUZ4GRWlOH04fudUzKKyMzvpUNS+FbSMmPGn3pKlgzv3g0OpZmZlBVkFg==" saltValue="n4gbog22zH4iXt6EcCL5A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/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154954828.99055612</v>
      </c>
      <c r="D9" s="8" t="s">
        <v>3</v>
      </c>
      <c r="E9" s="1"/>
    </row>
    <row r="10" spans="1:5" ht="15" customHeight="1" x14ac:dyDescent="0.25">
      <c r="A10" s="1"/>
      <c r="B10" s="55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5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511350.93566883518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-1954721.8473788989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-886159.461449355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-1716205.9779252606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150909092.63947141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3130567.1833439828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1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5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5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61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-3023587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7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151016072.82281539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d31h0MiUlIHzk6vrLU7O0nt1x3LZfcNOe1DKKSWz0W2LiaSWPX7L6YIS17hJXfil+fl+JFf7fkYut37zoWPUw==" saltValue="jfL4hUNf9j74Z2otF7aKo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3"/>
      <c r="C6" s="53"/>
      <c r="D6" s="53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150909092.63947141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498000.00571025565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-1903685.7532750987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-871302.11191869527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-1696385.7896791582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146935718.9903087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3140898.055049018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1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5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5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61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7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150076617.04535773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8uYgSn5q2SlO6Tf9BgNAGz3DmUJO620/X33/OpmnDzHAUUWKq2msF88JWaRVTQy41K2E3YtKOHwBi76ok/Ig9A==" saltValue="Io0I0G08Wq8YmtE7XyYHO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198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3"/>
      <c r="C6" s="53"/>
      <c r="D6" s="53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146935718.9903087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484887.87266801874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-1853562.4990957063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-856693.86071026651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-1676794.5016158803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143033556.00155488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3151263.0186306802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1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5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5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61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7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146184819.02018556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rRvCRL7N50H2p1cCOtNELBW6TV22/HIxBPm/mTnaLik0KqMOv9fL7kIbLBe/XBEMBooqgkY316jkloBB9/R4RA==" saltValue="/+t9CymLhG6/1IPrS3Pax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250</v>
      </c>
      <c r="C3" s="104"/>
      <c r="D3" s="104"/>
      <c r="E3" s="104"/>
      <c r="F3" s="104"/>
      <c r="G3" s="1"/>
    </row>
    <row r="4" spans="1:7" ht="29.2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99" t="s">
        <v>25</v>
      </c>
      <c r="C9" s="100"/>
      <c r="D9" s="101"/>
      <c r="E9" s="7">
        <v>159496448.27637318</v>
      </c>
      <c r="F9" s="8" t="s">
        <v>3</v>
      </c>
      <c r="G9" s="1"/>
    </row>
    <row r="10" spans="1:7" ht="15" customHeight="1" x14ac:dyDescent="0.25">
      <c r="A10" s="1"/>
      <c r="B10" s="90" t="s">
        <v>43</v>
      </c>
      <c r="C10" s="91"/>
      <c r="D10" s="92"/>
      <c r="E10" s="7">
        <v>70270.972800000003</v>
      </c>
      <c r="F10" s="8" t="s">
        <v>3</v>
      </c>
      <c r="G10" s="1"/>
    </row>
    <row r="11" spans="1:7" ht="15" customHeight="1" x14ac:dyDescent="0.25">
      <c r="A11" s="1"/>
      <c r="B11" s="90" t="s">
        <v>44</v>
      </c>
      <c r="C11" s="91"/>
      <c r="D11" s="92"/>
      <c r="E11" s="9">
        <v>624749.07180000003</v>
      </c>
      <c r="F11" s="8" t="s">
        <v>3</v>
      </c>
      <c r="G11" s="1"/>
    </row>
    <row r="12" spans="1:7" ht="15" customHeight="1" x14ac:dyDescent="0.25">
      <c r="A12" s="1"/>
      <c r="B12" s="90" t="s">
        <v>29</v>
      </c>
      <c r="C12" s="91"/>
      <c r="D12" s="92"/>
      <c r="E12" s="9">
        <v>0</v>
      </c>
      <c r="F12" s="8" t="s">
        <v>3</v>
      </c>
      <c r="G12" s="1"/>
    </row>
    <row r="13" spans="1:7" ht="15" customHeight="1" x14ac:dyDescent="0.25">
      <c r="A13" s="1"/>
      <c r="B13" s="99" t="s">
        <v>28</v>
      </c>
      <c r="C13" s="100"/>
      <c r="D13" s="101"/>
      <c r="E13" s="9">
        <v>0</v>
      </c>
      <c r="F13" s="8" t="s">
        <v>3</v>
      </c>
      <c r="G13" s="1"/>
    </row>
    <row r="14" spans="1:7" ht="15" customHeight="1" x14ac:dyDescent="0.25">
      <c r="A14" s="1"/>
      <c r="B14" s="99" t="s">
        <v>31</v>
      </c>
      <c r="C14" s="100"/>
      <c r="D14" s="101"/>
      <c r="E14" s="9">
        <v>0</v>
      </c>
      <c r="F14" s="8" t="s">
        <v>3</v>
      </c>
      <c r="G14" s="1"/>
    </row>
    <row r="15" spans="1:7" ht="15" customHeight="1" x14ac:dyDescent="0.25">
      <c r="A15" s="1"/>
      <c r="B15" s="99" t="s">
        <v>30</v>
      </c>
      <c r="C15" s="100"/>
      <c r="D15" s="101"/>
      <c r="E15" s="9">
        <v>0</v>
      </c>
      <c r="F15" s="8" t="s">
        <v>3</v>
      </c>
      <c r="G15" s="1"/>
    </row>
    <row r="16" spans="1:7" ht="15" customHeight="1" x14ac:dyDescent="0.25">
      <c r="A16" s="1"/>
      <c r="B16" s="99" t="s">
        <v>20</v>
      </c>
      <c r="C16" s="100"/>
      <c r="D16" s="101"/>
      <c r="E16" s="9">
        <v>3150559.2755886717</v>
      </c>
      <c r="F16" s="8" t="s">
        <v>3</v>
      </c>
      <c r="G16" s="1"/>
    </row>
    <row r="17" spans="1:7" ht="15" customHeight="1" x14ac:dyDescent="0.25">
      <c r="A17" s="1"/>
      <c r="B17" s="99" t="s">
        <v>10</v>
      </c>
      <c r="C17" s="100"/>
      <c r="D17" s="101"/>
      <c r="E17" s="9">
        <v>-866826.71827429498</v>
      </c>
      <c r="F17" s="8" t="s">
        <v>3</v>
      </c>
      <c r="G17" s="1"/>
    </row>
    <row r="18" spans="1:7" ht="15" customHeight="1" x14ac:dyDescent="0.25">
      <c r="A18" s="1"/>
      <c r="B18" s="99" t="s">
        <v>26</v>
      </c>
      <c r="C18" s="100"/>
      <c r="D18" s="101"/>
      <c r="E18" s="9">
        <f>-'Fane 4.1. Gen. krav - drift'!G34</f>
        <v>-914948.40825894324</v>
      </c>
      <c r="F18" s="8" t="s">
        <v>3</v>
      </c>
      <c r="G18" s="1"/>
    </row>
    <row r="19" spans="1:7" ht="15" customHeight="1" x14ac:dyDescent="0.25">
      <c r="A19" s="1"/>
      <c r="B19" s="99" t="s">
        <v>27</v>
      </c>
      <c r="C19" s="100"/>
      <c r="D19" s="101"/>
      <c r="E19" s="9">
        <f>-'Fane 4.2. Gen. krav - anlæg'!G31</f>
        <v>-3393168.8682377199</v>
      </c>
      <c r="F19" s="8" t="s">
        <v>3</v>
      </c>
      <c r="G19" s="1"/>
    </row>
    <row r="20" spans="1:7" ht="15" customHeight="1" x14ac:dyDescent="0.25">
      <c r="A20" s="1"/>
      <c r="B20" s="61" t="s">
        <v>22</v>
      </c>
      <c r="C20" s="62"/>
      <c r="D20" s="68"/>
      <c r="E20" s="10">
        <f>SUM(E9:E19)</f>
        <v>158167083.60179085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3" t="s">
        <v>13</v>
      </c>
      <c r="C22" s="94"/>
      <c r="D22" s="95"/>
      <c r="E22" s="10">
        <v>4080538.2852914399</v>
      </c>
      <c r="F22" s="11" t="s">
        <v>3</v>
      </c>
      <c r="G22" s="1"/>
    </row>
    <row r="23" spans="1:7" ht="15" customHeight="1" x14ac:dyDescent="0.25">
      <c r="A23" s="1"/>
      <c r="B23" s="96" t="s">
        <v>94</v>
      </c>
      <c r="C23" s="97"/>
      <c r="D23" s="98"/>
      <c r="E23" s="32"/>
      <c r="F23" s="32"/>
      <c r="G23" s="1"/>
    </row>
    <row r="24" spans="1:7" ht="15" customHeight="1" x14ac:dyDescent="0.25">
      <c r="A24" s="1"/>
      <c r="B24" s="61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0" t="s">
        <v>89</v>
      </c>
      <c r="C26" s="91"/>
      <c r="D26" s="92"/>
      <c r="E26" s="9">
        <v>4589556.6890779203</v>
      </c>
      <c r="F26" s="8" t="s">
        <v>3</v>
      </c>
      <c r="G26" s="1"/>
    </row>
    <row r="27" spans="1:7" ht="15" customHeight="1" x14ac:dyDescent="0.25">
      <c r="A27" s="1"/>
      <c r="B27" s="90" t="s">
        <v>90</v>
      </c>
      <c r="C27" s="91"/>
      <c r="D27" s="91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4473409.6046468858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3" t="s">
        <v>185</v>
      </c>
      <c r="C30" s="94"/>
      <c r="D30" s="94"/>
      <c r="E30" s="45">
        <v>-11271533.325691819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6" customHeight="1" x14ac:dyDescent="0.25">
      <c r="A32" s="1"/>
      <c r="B32" s="93" t="s">
        <v>148</v>
      </c>
      <c r="C32" s="94"/>
      <c r="D32" s="95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155449498.16603735</v>
      </c>
      <c r="F33" s="13" t="s">
        <v>3</v>
      </c>
      <c r="G33" s="1"/>
    </row>
    <row r="34" spans="1:7" ht="27" customHeight="1" x14ac:dyDescent="0.25">
      <c r="A34" s="1"/>
      <c r="B34" s="99" t="s">
        <v>252</v>
      </c>
      <c r="C34" s="100"/>
      <c r="D34" s="100"/>
      <c r="E34" s="100"/>
      <c r="F34" s="10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70Lam2JDTecm9wXQA3ZS5QqV0RMNef4FUndZyhndXsXwQFmwJnN1Te7DBe4IZNIivp5JtlnekUDuZLeKX8WM0g==" saltValue="xe1tahF9Z/35gvljWy5HaA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4" t="s">
        <v>130</v>
      </c>
      <c r="C2" s="104"/>
      <c r="D2" s="104"/>
      <c r="E2" s="104"/>
      <c r="F2" s="104"/>
      <c r="G2" s="104"/>
      <c r="H2" s="104"/>
      <c r="I2" s="1"/>
    </row>
    <row r="3" spans="1:9" ht="28.5" customHeight="1" x14ac:dyDescent="0.25">
      <c r="A3" s="1"/>
      <c r="B3" s="104"/>
      <c r="C3" s="104"/>
      <c r="D3" s="104"/>
      <c r="E3" s="104"/>
      <c r="F3" s="104"/>
      <c r="G3" s="104"/>
      <c r="H3" s="104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6" t="s">
        <v>56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105" t="s">
        <v>45</v>
      </c>
      <c r="C6" s="106"/>
      <c r="D6" s="106"/>
      <c r="E6" s="106"/>
      <c r="F6" s="107"/>
      <c r="G6" s="24">
        <v>45816382.663737297</v>
      </c>
      <c r="H6" s="14" t="s">
        <v>3</v>
      </c>
      <c r="I6" s="1"/>
    </row>
    <row r="7" spans="1:9" x14ac:dyDescent="0.25">
      <c r="A7" s="1"/>
      <c r="B7" s="99" t="s">
        <v>145</v>
      </c>
      <c r="C7" s="100"/>
      <c r="D7" s="100"/>
      <c r="E7" s="100"/>
      <c r="F7" s="101"/>
      <c r="G7" s="52">
        <v>0</v>
      </c>
      <c r="H7" s="14" t="s">
        <v>3</v>
      </c>
      <c r="I7" s="1"/>
    </row>
    <row r="8" spans="1:9" x14ac:dyDescent="0.25">
      <c r="A8" s="1"/>
      <c r="B8" s="105" t="s">
        <v>46</v>
      </c>
      <c r="C8" s="106"/>
      <c r="D8" s="106"/>
      <c r="E8" s="106"/>
      <c r="F8" s="107"/>
      <c r="G8" s="24">
        <f>SUM(G6:G7)*'Fane 14. Nøgletal'!C29</f>
        <v>916327.65327474591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6" t="s">
        <v>57</v>
      </c>
      <c r="C11" s="97"/>
      <c r="D11" s="97"/>
      <c r="E11" s="97"/>
      <c r="F11" s="97"/>
      <c r="G11" s="97"/>
      <c r="H11" s="98"/>
      <c r="I11" s="1"/>
    </row>
    <row r="12" spans="1:9" x14ac:dyDescent="0.25">
      <c r="A12" s="1"/>
      <c r="B12" s="105" t="s">
        <v>47</v>
      </c>
      <c r="C12" s="106"/>
      <c r="D12" s="106"/>
      <c r="E12" s="106"/>
      <c r="F12" s="107"/>
      <c r="G12" s="24">
        <f>(G6-G8)*(1+'Fane 14. Nøgletal'!C10)</f>
        <v>45685805.973145649</v>
      </c>
      <c r="H12" s="14" t="s">
        <v>3</v>
      </c>
      <c r="I12" s="1"/>
    </row>
    <row r="13" spans="1:9" ht="15" customHeight="1" x14ac:dyDescent="0.25">
      <c r="A13" s="1"/>
      <c r="B13" s="105" t="s">
        <v>146</v>
      </c>
      <c r="C13" s="106"/>
      <c r="D13" s="106"/>
      <c r="E13" s="106"/>
      <c r="F13" s="107"/>
      <c r="G13" s="52">
        <v>0</v>
      </c>
      <c r="H13" s="14" t="s">
        <v>3</v>
      </c>
      <c r="I13" s="1"/>
    </row>
    <row r="14" spans="1:9" x14ac:dyDescent="0.25">
      <c r="A14" s="1"/>
      <c r="B14" s="99" t="s">
        <v>143</v>
      </c>
      <c r="C14" s="100"/>
      <c r="D14" s="100"/>
      <c r="E14" s="100"/>
      <c r="F14" s="101"/>
      <c r="G14" s="52">
        <v>0</v>
      </c>
      <c r="H14" s="14" t="s">
        <v>3</v>
      </c>
      <c r="I14" s="1"/>
    </row>
    <row r="15" spans="1:9" x14ac:dyDescent="0.25">
      <c r="A15" s="1"/>
      <c r="B15" s="108" t="s">
        <v>48</v>
      </c>
      <c r="C15" s="109"/>
      <c r="D15" s="109"/>
      <c r="E15" s="109"/>
      <c r="F15" s="110"/>
      <c r="G15" s="52">
        <v>0</v>
      </c>
      <c r="H15" s="14" t="s">
        <v>3</v>
      </c>
      <c r="I15" s="1"/>
    </row>
    <row r="16" spans="1:9" x14ac:dyDescent="0.25">
      <c r="A16" s="1"/>
      <c r="B16" s="105" t="s">
        <v>49</v>
      </c>
      <c r="C16" s="106"/>
      <c r="D16" s="106"/>
      <c r="E16" s="106"/>
      <c r="F16" s="107"/>
      <c r="G16" s="24">
        <f>SUM(G12:G15)*'Fane 14. Nøgletal'!C29</f>
        <v>913716.11946291302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6" t="s">
        <v>58</v>
      </c>
      <c r="C19" s="97"/>
      <c r="D19" s="97"/>
      <c r="E19" s="97"/>
      <c r="F19" s="97"/>
      <c r="G19" s="97"/>
      <c r="H19" s="98"/>
      <c r="I19" s="1"/>
    </row>
    <row r="20" spans="1:9" x14ac:dyDescent="0.25">
      <c r="A20" s="1"/>
      <c r="B20" s="105" t="s">
        <v>50</v>
      </c>
      <c r="C20" s="106"/>
      <c r="D20" s="106"/>
      <c r="E20" s="106"/>
      <c r="F20" s="107"/>
      <c r="G20" s="24">
        <f>(SUM(G12:G13,G15)-(G16))*(1+'Fane 14. Nøgletal'!C10)</f>
        <v>45555601.426122189</v>
      </c>
      <c r="H20" s="14" t="s">
        <v>3</v>
      </c>
      <c r="I20" s="1"/>
    </row>
    <row r="21" spans="1:9" x14ac:dyDescent="0.25">
      <c r="A21" s="1"/>
      <c r="B21" s="108" t="s">
        <v>51</v>
      </c>
      <c r="C21" s="109"/>
      <c r="D21" s="109"/>
      <c r="E21" s="109"/>
      <c r="F21" s="110"/>
      <c r="G21" s="24">
        <v>7669400.3692116085</v>
      </c>
      <c r="H21" s="14" t="s">
        <v>3</v>
      </c>
      <c r="I21" s="1"/>
    </row>
    <row r="22" spans="1:9" x14ac:dyDescent="0.25">
      <c r="A22" s="1"/>
      <c r="B22" s="105" t="s">
        <v>52</v>
      </c>
      <c r="C22" s="106"/>
      <c r="D22" s="106"/>
      <c r="E22" s="106"/>
      <c r="F22" s="107"/>
      <c r="G22" s="24">
        <f>SUM(G20:G21)*'Fane 14. Nøgletal'!C29</f>
        <v>1064500.035906676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6" t="s">
        <v>59</v>
      </c>
      <c r="C25" s="97"/>
      <c r="D25" s="97"/>
      <c r="E25" s="97"/>
      <c r="F25" s="97"/>
      <c r="G25" s="97"/>
      <c r="H25" s="98"/>
      <c r="I25" s="1"/>
    </row>
    <row r="26" spans="1:9" x14ac:dyDescent="0.25">
      <c r="A26" s="1"/>
      <c r="B26" s="105" t="s">
        <v>53</v>
      </c>
      <c r="C26" s="106"/>
      <c r="D26" s="106"/>
      <c r="E26" s="106"/>
      <c r="F26" s="107"/>
      <c r="G26" s="24">
        <f>(G20+G21-G22)*(1+'Fane 14. Nøgletal'!C12)</f>
        <v>53188063.644087836</v>
      </c>
      <c r="H26" s="14" t="s">
        <v>3</v>
      </c>
      <c r="I26" s="1"/>
    </row>
    <row r="27" spans="1:9" x14ac:dyDescent="0.25">
      <c r="A27" s="1"/>
      <c r="B27" s="108" t="s">
        <v>54</v>
      </c>
      <c r="C27" s="109"/>
      <c r="D27" s="109"/>
      <c r="E27" s="109"/>
      <c r="F27" s="110"/>
      <c r="G27" s="24">
        <v>-7480050.148442857</v>
      </c>
      <c r="H27" s="14" t="s">
        <v>3</v>
      </c>
      <c r="I27" s="1"/>
    </row>
    <row r="28" spans="1:9" x14ac:dyDescent="0.25">
      <c r="A28" s="1"/>
      <c r="B28" s="105" t="s">
        <v>55</v>
      </c>
      <c r="C28" s="106"/>
      <c r="D28" s="106"/>
      <c r="E28" s="106"/>
      <c r="F28" s="107"/>
      <c r="G28" s="24">
        <f>(G26+G27)*'Fane 14. Nøgletal'!C29</f>
        <v>914160.26991289959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62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105" t="s">
        <v>63</v>
      </c>
      <c r="C32" s="106"/>
      <c r="D32" s="106"/>
      <c r="E32" s="106"/>
      <c r="F32" s="107"/>
      <c r="G32" s="24">
        <f>(G26+G27-G28)*(1+'Fane 14. Nøgletal'!C12)</f>
        <v>45676292.134279005</v>
      </c>
      <c r="H32" s="14" t="s">
        <v>3</v>
      </c>
      <c r="I32" s="1"/>
    </row>
    <row r="33" spans="1:9" x14ac:dyDescent="0.25">
      <c r="A33" s="1"/>
      <c r="B33" s="105" t="s">
        <v>171</v>
      </c>
      <c r="C33" s="106"/>
      <c r="D33" s="106"/>
      <c r="E33" s="106"/>
      <c r="F33" s="107"/>
      <c r="G33" s="24">
        <v>71128.278668159997</v>
      </c>
      <c r="H33" s="14" t="s">
        <v>3</v>
      </c>
      <c r="I33" s="1"/>
    </row>
    <row r="34" spans="1:9" x14ac:dyDescent="0.25">
      <c r="A34" s="1"/>
      <c r="B34" s="105" t="s">
        <v>64</v>
      </c>
      <c r="C34" s="106"/>
      <c r="D34" s="106"/>
      <c r="E34" s="106"/>
      <c r="F34" s="107"/>
      <c r="G34" s="24">
        <f>(G32+G33)*'Fane 14. Nøgletal'!C29</f>
        <v>914948.40825894324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6" t="s">
        <v>232</v>
      </c>
      <c r="C37" s="97"/>
      <c r="D37" s="97"/>
      <c r="E37" s="97"/>
      <c r="F37" s="97"/>
      <c r="G37" s="97"/>
      <c r="H37" s="98"/>
      <c r="I37" s="1"/>
    </row>
    <row r="38" spans="1:9" x14ac:dyDescent="0.25">
      <c r="A38" s="1"/>
      <c r="B38" s="105" t="s">
        <v>84</v>
      </c>
      <c r="C38" s="106"/>
      <c r="D38" s="106"/>
      <c r="E38" s="106"/>
      <c r="F38" s="107"/>
      <c r="G38" s="24">
        <f>(G32+G33-G34)*(1+'Fane 14. Nøgletal'!C14)</f>
        <v>44980419.162303694</v>
      </c>
      <c r="H38" s="14" t="s">
        <v>3</v>
      </c>
      <c r="I38" s="1"/>
    </row>
    <row r="39" spans="1:9" x14ac:dyDescent="0.25">
      <c r="A39" s="1"/>
      <c r="B39" s="105" t="s">
        <v>236</v>
      </c>
      <c r="C39" s="106"/>
      <c r="D39" s="106"/>
      <c r="E39" s="106"/>
      <c r="F39" s="107"/>
      <c r="G39" s="24">
        <f>SUM('Fane 2.1. Økonomisk ramme 2022'!C10,'Fane 2.1. Økonomisk ramme 2022'!C12,'Fane 2.1. Økonomisk ramme 2022'!C14)*(1+'Fane 14. Nøgletal'!C14)</f>
        <v>83088.682693270006</v>
      </c>
      <c r="H39" s="14" t="s">
        <v>3</v>
      </c>
      <c r="I39" s="1"/>
    </row>
    <row r="40" spans="1:9" x14ac:dyDescent="0.25">
      <c r="A40" s="1"/>
      <c r="B40" s="105" t="s">
        <v>234</v>
      </c>
      <c r="C40" s="106"/>
      <c r="D40" s="106"/>
      <c r="E40" s="106"/>
      <c r="F40" s="107"/>
      <c r="G40" s="24">
        <f>(G38+G39)*'Fane 14. Nøgletal'!C29</f>
        <v>901270.15689993929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6" t="s">
        <v>233</v>
      </c>
      <c r="C43" s="97"/>
      <c r="D43" s="97"/>
      <c r="E43" s="97"/>
      <c r="F43" s="97"/>
      <c r="G43" s="97"/>
      <c r="H43" s="98"/>
      <c r="I43" s="1"/>
    </row>
    <row r="44" spans="1:9" x14ac:dyDescent="0.25">
      <c r="A44" s="1"/>
      <c r="B44" s="105" t="s">
        <v>83</v>
      </c>
      <c r="C44" s="106"/>
      <c r="D44" s="106"/>
      <c r="E44" s="106"/>
      <c r="F44" s="107"/>
      <c r="G44" s="24">
        <f>(G38+G39-G40)*(1+'Fane 14. Nøgletal'!C14)</f>
        <v>44307973.072467752</v>
      </c>
      <c r="H44" s="14" t="s">
        <v>3</v>
      </c>
      <c r="I44" s="1"/>
    </row>
    <row r="45" spans="1:9" x14ac:dyDescent="0.25">
      <c r="A45" s="1"/>
      <c r="B45" s="111" t="s">
        <v>237</v>
      </c>
      <c r="C45" s="112"/>
      <c r="D45" s="112"/>
      <c r="E45" s="112"/>
      <c r="F45" s="113"/>
      <c r="G45" s="24">
        <f>G39*(1+'Fane 14. Nøgletal'!C14)</f>
        <v>83362.875346157802</v>
      </c>
      <c r="H45" s="14" t="s">
        <v>3</v>
      </c>
      <c r="I45" s="1"/>
    </row>
    <row r="46" spans="1:9" x14ac:dyDescent="0.25">
      <c r="A46" s="1"/>
      <c r="B46" s="105" t="s">
        <v>97</v>
      </c>
      <c r="C46" s="106"/>
      <c r="D46" s="106"/>
      <c r="E46" s="106"/>
      <c r="F46" s="107"/>
      <c r="G46" s="52">
        <v>0</v>
      </c>
      <c r="H46" s="14" t="s">
        <v>3</v>
      </c>
      <c r="I46" s="1"/>
    </row>
    <row r="47" spans="1:9" x14ac:dyDescent="0.25">
      <c r="A47" s="1"/>
      <c r="B47" s="105" t="s">
        <v>235</v>
      </c>
      <c r="C47" s="106"/>
      <c r="D47" s="106"/>
      <c r="E47" s="106"/>
      <c r="F47" s="107"/>
      <c r="G47" s="24">
        <f>(G44+G46)*'Fane 14. Nøgletal'!C29</f>
        <v>886159.461449355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6" t="s">
        <v>172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105" t="s">
        <v>173</v>
      </c>
      <c r="C53" s="106"/>
      <c r="D53" s="106"/>
      <c r="E53" s="106"/>
      <c r="F53" s="107"/>
      <c r="G53" s="24">
        <f>(G44+G46-G47)*(1+'Fane 14. Nøgletal'!C14)</f>
        <v>43565105.595934764</v>
      </c>
      <c r="H53" s="14" t="s">
        <v>3</v>
      </c>
      <c r="I53" s="1"/>
    </row>
    <row r="54" spans="1:9" x14ac:dyDescent="0.25">
      <c r="A54" s="1"/>
      <c r="B54" s="105" t="s">
        <v>174</v>
      </c>
      <c r="C54" s="106"/>
      <c r="D54" s="106"/>
      <c r="E54" s="106"/>
      <c r="F54" s="107"/>
      <c r="G54" s="52">
        <v>0</v>
      </c>
      <c r="H54" s="14" t="s">
        <v>3</v>
      </c>
      <c r="I54" s="1"/>
    </row>
    <row r="55" spans="1:9" x14ac:dyDescent="0.25">
      <c r="A55" s="1"/>
      <c r="B55" s="105" t="s">
        <v>175</v>
      </c>
      <c r="C55" s="106"/>
      <c r="D55" s="106"/>
      <c r="E55" s="106"/>
      <c r="F55" s="107"/>
      <c r="G55" s="24">
        <f>(G53+G54)*'Fane 14. Nøgletal'!C29</f>
        <v>871302.11191869527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8" t="s">
        <v>201</v>
      </c>
      <c r="C58" s="59"/>
      <c r="D58" s="59"/>
      <c r="E58" s="59"/>
      <c r="F58" s="59"/>
      <c r="G58" s="59"/>
      <c r="H58" s="60"/>
      <c r="I58" s="1"/>
    </row>
    <row r="59" spans="1:9" x14ac:dyDescent="0.25">
      <c r="A59" s="1"/>
      <c r="B59" s="63" t="s">
        <v>202</v>
      </c>
      <c r="C59" s="64"/>
      <c r="D59" s="64"/>
      <c r="E59" s="64"/>
      <c r="F59" s="65"/>
      <c r="G59" s="24">
        <f>(G53+G54-G55)*(1+'Fane 14. Nøgletal'!C14)</f>
        <v>42834693.035513327</v>
      </c>
      <c r="H59" s="14" t="s">
        <v>3</v>
      </c>
      <c r="I59" s="1"/>
    </row>
    <row r="60" spans="1:9" x14ac:dyDescent="0.25">
      <c r="A60" s="1"/>
      <c r="B60" s="63" t="s">
        <v>203</v>
      </c>
      <c r="C60" s="64"/>
      <c r="D60" s="64"/>
      <c r="E60" s="64"/>
      <c r="F60" s="65"/>
      <c r="G60" s="52">
        <v>0</v>
      </c>
      <c r="H60" s="14" t="s">
        <v>3</v>
      </c>
      <c r="I60" s="1"/>
    </row>
    <row r="61" spans="1:9" x14ac:dyDescent="0.25">
      <c r="A61" s="1"/>
      <c r="B61" s="63" t="s">
        <v>204</v>
      </c>
      <c r="C61" s="64"/>
      <c r="D61" s="64"/>
      <c r="E61" s="64"/>
      <c r="F61" s="65"/>
      <c r="G61" s="24">
        <f>(G59+G60)*'Fane 14. Nøgletal'!C29</f>
        <v>856693.86071026651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Y9JYrEREmO+9DC/21ZgzS9E0LEhJDuJqWPQPr82EwnSmd9Q/NJKEg+c7Ipv8RbDlI/g3TeRfttqW0E/IXknbWQ==" saltValue="MsKKF6Xlg8tJFdh8NYzLZw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4" t="s">
        <v>131</v>
      </c>
      <c r="C1" s="114"/>
      <c r="D1" s="114"/>
      <c r="E1" s="114"/>
      <c r="F1" s="114"/>
      <c r="G1" s="114"/>
      <c r="H1" s="114"/>
      <c r="I1" s="1"/>
    </row>
    <row r="2" spans="1:9" ht="15" customHeight="1" x14ac:dyDescent="0.25">
      <c r="A2" s="1"/>
      <c r="B2" s="114"/>
      <c r="C2" s="114"/>
      <c r="D2" s="114"/>
      <c r="E2" s="114"/>
      <c r="F2" s="114"/>
      <c r="G2" s="114"/>
      <c r="H2" s="114"/>
      <c r="I2" s="1"/>
    </row>
    <row r="3" spans="1:9" ht="15" customHeight="1" x14ac:dyDescent="0.25">
      <c r="A3" s="1"/>
      <c r="B3" s="115"/>
      <c r="C3" s="115"/>
      <c r="D3" s="115"/>
      <c r="E3" s="115"/>
      <c r="F3" s="115"/>
      <c r="G3" s="115"/>
      <c r="H3" s="115"/>
      <c r="I3" s="1"/>
    </row>
    <row r="4" spans="1:9" x14ac:dyDescent="0.25">
      <c r="A4" s="1"/>
      <c r="B4" s="96" t="s">
        <v>60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105" t="s">
        <v>65</v>
      </c>
      <c r="C5" s="106"/>
      <c r="D5" s="106"/>
      <c r="E5" s="106"/>
      <c r="F5" s="107"/>
      <c r="G5" s="24">
        <v>116607776.06762949</v>
      </c>
      <c r="H5" s="14" t="s">
        <v>3</v>
      </c>
      <c r="I5" s="1"/>
    </row>
    <row r="6" spans="1:9" x14ac:dyDescent="0.25">
      <c r="A6" s="1"/>
      <c r="B6" s="105" t="s">
        <v>61</v>
      </c>
      <c r="C6" s="106"/>
      <c r="D6" s="106"/>
      <c r="E6" s="106"/>
      <c r="F6" s="107"/>
      <c r="G6" s="24">
        <f>G5*'Fane 14. Nøgletal'!C19</f>
        <v>1061130.7622154283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66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105" t="s">
        <v>67</v>
      </c>
      <c r="C10" s="106"/>
      <c r="D10" s="106"/>
      <c r="E10" s="106"/>
      <c r="F10" s="107"/>
      <c r="G10" s="24">
        <f>(G5-G6)*(1+'Fane 14. Nøgletal'!C10)</f>
        <v>117568711.59825881</v>
      </c>
      <c r="H10" s="14" t="s">
        <v>3</v>
      </c>
      <c r="I10" s="1"/>
    </row>
    <row r="11" spans="1:9" x14ac:dyDescent="0.25">
      <c r="A11" s="1"/>
      <c r="B11" s="105" t="s">
        <v>147</v>
      </c>
      <c r="C11" s="106"/>
      <c r="D11" s="106"/>
      <c r="E11" s="106"/>
      <c r="F11" s="107"/>
      <c r="G11" s="24">
        <v>-165378.52922006062</v>
      </c>
      <c r="H11" s="14" t="s">
        <v>3</v>
      </c>
      <c r="I11" s="1"/>
    </row>
    <row r="12" spans="1:9" x14ac:dyDescent="0.25">
      <c r="A12" s="1"/>
      <c r="B12" s="108" t="s">
        <v>68</v>
      </c>
      <c r="C12" s="109"/>
      <c r="D12" s="109"/>
      <c r="E12" s="109"/>
      <c r="F12" s="110"/>
      <c r="G12" s="52">
        <v>0</v>
      </c>
      <c r="H12" s="14" t="s">
        <v>3</v>
      </c>
      <c r="I12" s="1"/>
    </row>
    <row r="13" spans="1:9" x14ac:dyDescent="0.25">
      <c r="A13" s="1"/>
      <c r="B13" s="105" t="s">
        <v>69</v>
      </c>
      <c r="C13" s="106"/>
      <c r="D13" s="106"/>
      <c r="E13" s="106"/>
      <c r="F13" s="107"/>
      <c r="G13" s="24">
        <f>SUM(G10:G12)*'Fane 14. Nøgletal'!C20</f>
        <v>2078038.9953219858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6" t="s">
        <v>70</v>
      </c>
      <c r="C16" s="97"/>
      <c r="D16" s="97"/>
      <c r="E16" s="97"/>
      <c r="F16" s="97"/>
      <c r="G16" s="97"/>
      <c r="H16" s="98"/>
      <c r="I16" s="1"/>
    </row>
    <row r="17" spans="1:9" x14ac:dyDescent="0.25">
      <c r="A17" s="1"/>
      <c r="B17" s="105" t="s">
        <v>71</v>
      </c>
      <c r="C17" s="106"/>
      <c r="D17" s="106"/>
      <c r="E17" s="106"/>
      <c r="F17" s="107"/>
      <c r="G17" s="24">
        <f>(SUM(G10:G12)-G13)*(1+'Fane 14. Nøgletal'!C10)</f>
        <v>117343486.72000681</v>
      </c>
      <c r="H17" s="14" t="s">
        <v>3</v>
      </c>
      <c r="I17" s="1"/>
    </row>
    <row r="18" spans="1:9" x14ac:dyDescent="0.25">
      <c r="A18" s="1"/>
      <c r="B18" s="108" t="s">
        <v>72</v>
      </c>
      <c r="C18" s="109"/>
      <c r="D18" s="109"/>
      <c r="E18" s="109"/>
      <c r="F18" s="110"/>
      <c r="G18" s="24">
        <v>1441061.3767572097</v>
      </c>
      <c r="H18" s="14" t="s">
        <v>3</v>
      </c>
      <c r="I18" s="1"/>
    </row>
    <row r="19" spans="1:9" x14ac:dyDescent="0.25">
      <c r="A19" s="1"/>
      <c r="B19" s="105" t="s">
        <v>73</v>
      </c>
      <c r="C19" s="106"/>
      <c r="D19" s="106"/>
      <c r="E19" s="106"/>
      <c r="F19" s="107"/>
      <c r="G19" s="24">
        <f>G17*'Fane 14. Nøgletal'!C20+G18*'Fane 14. Nøgletal'!C21</f>
        <v>2089516.9489219082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74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105" t="s">
        <v>75</v>
      </c>
      <c r="C23" s="106"/>
      <c r="D23" s="106"/>
      <c r="E23" s="106"/>
      <c r="F23" s="107"/>
      <c r="G23" s="24">
        <f>(G17+G18-G19)*(1+'Fane 14. Nøgletal'!C12)</f>
        <v>118993923.26145461</v>
      </c>
      <c r="H23" s="14" t="s">
        <v>3</v>
      </c>
      <c r="I23" s="1"/>
    </row>
    <row r="24" spans="1:9" x14ac:dyDescent="0.25">
      <c r="A24" s="1"/>
      <c r="B24" s="108" t="s">
        <v>76</v>
      </c>
      <c r="C24" s="109"/>
      <c r="D24" s="109"/>
      <c r="E24" s="109"/>
      <c r="F24" s="110"/>
      <c r="G24" s="24">
        <v>982441.45464309899</v>
      </c>
      <c r="H24" s="14" t="s">
        <v>3</v>
      </c>
      <c r="I24" s="1"/>
    </row>
    <row r="25" spans="1:9" x14ac:dyDescent="0.25">
      <c r="A25" s="1"/>
      <c r="B25" s="105" t="s">
        <v>77</v>
      </c>
      <c r="C25" s="106"/>
      <c r="D25" s="106"/>
      <c r="E25" s="106"/>
      <c r="F25" s="107"/>
      <c r="G25" s="24">
        <f>(G23+G24)*'Fane 14. Nøgletal'!C22</f>
        <v>3407328.7579371752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78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105" t="s">
        <v>79</v>
      </c>
      <c r="C29" s="106"/>
      <c r="D29" s="106"/>
      <c r="E29" s="106"/>
      <c r="F29" s="107"/>
      <c r="G29" s="24">
        <f>(G23+G24-G25)*(1+'Fane 14. Nøgletal'!C12)</f>
        <v>118865445.9665363</v>
      </c>
      <c r="H29" s="14" t="s">
        <v>3</v>
      </c>
      <c r="I29" s="1"/>
    </row>
    <row r="30" spans="1:9" x14ac:dyDescent="0.25">
      <c r="A30" s="1"/>
      <c r="B30" s="105" t="s">
        <v>176</v>
      </c>
      <c r="C30" s="106"/>
      <c r="D30" s="106"/>
      <c r="E30" s="106"/>
      <c r="F30" s="107"/>
      <c r="G30" s="24">
        <v>632371.01047595998</v>
      </c>
      <c r="H30" s="14" t="s">
        <v>3</v>
      </c>
      <c r="I30" s="1"/>
    </row>
    <row r="31" spans="1:9" x14ac:dyDescent="0.25">
      <c r="A31" s="1"/>
      <c r="B31" s="105" t="s">
        <v>80</v>
      </c>
      <c r="C31" s="106"/>
      <c r="D31" s="106"/>
      <c r="E31" s="106"/>
      <c r="F31" s="107"/>
      <c r="G31" s="24">
        <f>G29*'Fane 14. Nøgletal'!C22+G30*'Fane 14. Nøgletal'!C23</f>
        <v>3393168.8682377199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238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105" t="s">
        <v>82</v>
      </c>
      <c r="C35" s="106"/>
      <c r="D35" s="106"/>
      <c r="E35" s="106"/>
      <c r="F35" s="107"/>
      <c r="G35" s="24">
        <f>(G29+G30-G31)*(1+'Fane 14. Nøgletal'!C14)</f>
        <v>116487793.4475335</v>
      </c>
      <c r="H35" s="14" t="s">
        <v>3</v>
      </c>
      <c r="I35" s="1"/>
    </row>
    <row r="36" spans="1:9" x14ac:dyDescent="0.25">
      <c r="A36" s="1"/>
      <c r="B36" s="105" t="s">
        <v>240</v>
      </c>
      <c r="C36" s="106"/>
      <c r="D36" s="106"/>
      <c r="E36" s="106"/>
      <c r="F36" s="107"/>
      <c r="G36" s="24">
        <f>SUM('Fane 2.1. Økonomisk ramme 2022'!C11,'Fane 2.1. Økonomisk ramme 2022'!C13,'Fane 2.1. Økonomisk ramme 2022'!C15)*(1+'Fane 14. Nøgletal'!C14)</f>
        <v>826918.76680432016</v>
      </c>
      <c r="H36" s="14" t="s">
        <v>3</v>
      </c>
      <c r="I36" s="1"/>
    </row>
    <row r="37" spans="1:9" x14ac:dyDescent="0.25">
      <c r="A37" s="1"/>
      <c r="B37" s="105" t="s">
        <v>239</v>
      </c>
      <c r="C37" s="106"/>
      <c r="D37" s="106"/>
      <c r="E37" s="106"/>
      <c r="F37" s="107"/>
      <c r="G37" s="24">
        <f>(G35+G36)*'Fane 14. Nøgletal'!C24</f>
        <v>1736257.7407721998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85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105" t="s">
        <v>81</v>
      </c>
      <c r="C41" s="106"/>
      <c r="D41" s="106"/>
      <c r="E41" s="106"/>
      <c r="F41" s="107"/>
      <c r="G41" s="24">
        <f>(G35+G36-G37)*(1+'Fane 14. Nøgletal'!C14)</f>
        <v>115959863.3733284</v>
      </c>
      <c r="H41" s="14" t="s">
        <v>3</v>
      </c>
      <c r="I41" s="1"/>
    </row>
    <row r="42" spans="1:9" x14ac:dyDescent="0.25">
      <c r="A42" s="1"/>
      <c r="B42" s="47" t="s">
        <v>242</v>
      </c>
      <c r="C42" s="64"/>
      <c r="D42" s="64"/>
      <c r="E42" s="64"/>
      <c r="F42" s="65"/>
      <c r="G42" s="24">
        <f>G36*(1+'Fane 14. Nøgletal'!C14)</f>
        <v>829647.59873477451</v>
      </c>
      <c r="H42" s="14" t="s">
        <v>3</v>
      </c>
      <c r="I42" s="1"/>
    </row>
    <row r="43" spans="1:9" x14ac:dyDescent="0.25">
      <c r="A43" s="1"/>
      <c r="B43" s="105" t="s">
        <v>101</v>
      </c>
      <c r="C43" s="106"/>
      <c r="D43" s="106"/>
      <c r="E43" s="106"/>
      <c r="F43" s="107"/>
      <c r="G43" s="52">
        <v>0</v>
      </c>
      <c r="H43" s="14" t="s">
        <v>3</v>
      </c>
      <c r="I43" s="1"/>
    </row>
    <row r="44" spans="1:9" x14ac:dyDescent="0.25">
      <c r="A44" s="1"/>
      <c r="B44" s="105" t="s">
        <v>241</v>
      </c>
      <c r="C44" s="106"/>
      <c r="D44" s="106"/>
      <c r="E44" s="106"/>
      <c r="F44" s="107"/>
      <c r="G44" s="24">
        <f>(G41+G43)*'Fane 14. Nøgletal'!C24</f>
        <v>1716205.9779252606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6" t="s">
        <v>181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105" t="s">
        <v>182</v>
      </c>
      <c r="C53" s="106"/>
      <c r="D53" s="106"/>
      <c r="E53" s="106"/>
      <c r="F53" s="107"/>
      <c r="G53" s="24">
        <f>(G41+G43-G44)*(1+'Fane 14. Nøgletal'!C14)</f>
        <v>114620661.46480799</v>
      </c>
      <c r="H53" s="14" t="s">
        <v>3</v>
      </c>
      <c r="I53" s="1"/>
    </row>
    <row r="54" spans="1:9" x14ac:dyDescent="0.25">
      <c r="A54" s="1"/>
      <c r="B54" s="105" t="s">
        <v>183</v>
      </c>
      <c r="C54" s="106"/>
      <c r="D54" s="106"/>
      <c r="E54" s="106"/>
      <c r="F54" s="107"/>
      <c r="G54" s="52">
        <v>0</v>
      </c>
      <c r="H54" s="14" t="s">
        <v>3</v>
      </c>
      <c r="I54" s="1"/>
    </row>
    <row r="55" spans="1:9" x14ac:dyDescent="0.25">
      <c r="A55" s="1"/>
      <c r="B55" s="105" t="s">
        <v>184</v>
      </c>
      <c r="C55" s="106"/>
      <c r="D55" s="106"/>
      <c r="E55" s="106"/>
      <c r="F55" s="107"/>
      <c r="G55" s="24">
        <f>(G53+G54)*'Fane 14. Nøgletal'!C24</f>
        <v>1696385.7896791582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6" t="s">
        <v>205</v>
      </c>
      <c r="C58" s="97"/>
      <c r="D58" s="97"/>
      <c r="E58" s="97"/>
      <c r="F58" s="97"/>
      <c r="G58" s="97"/>
      <c r="H58" s="98"/>
      <c r="I58" s="1"/>
    </row>
    <row r="59" spans="1:9" x14ac:dyDescent="0.25">
      <c r="A59" s="1"/>
      <c r="B59" s="105" t="s">
        <v>255</v>
      </c>
      <c r="C59" s="106"/>
      <c r="D59" s="106"/>
      <c r="E59" s="106"/>
      <c r="F59" s="107"/>
      <c r="G59" s="24">
        <f>(G53+G54-G55)*(1+'Fane 14. Nøgletal'!C14)</f>
        <v>113296925.78485677</v>
      </c>
      <c r="H59" s="14" t="s">
        <v>3</v>
      </c>
      <c r="I59" s="1"/>
    </row>
    <row r="60" spans="1:9" x14ac:dyDescent="0.25">
      <c r="A60" s="1"/>
      <c r="B60" s="105" t="s">
        <v>256</v>
      </c>
      <c r="C60" s="106"/>
      <c r="D60" s="106"/>
      <c r="E60" s="106"/>
      <c r="F60" s="107"/>
      <c r="G60" s="52">
        <v>0</v>
      </c>
      <c r="H60" s="14" t="s">
        <v>3</v>
      </c>
      <c r="I60" s="1"/>
    </row>
    <row r="61" spans="1:9" x14ac:dyDescent="0.25">
      <c r="A61" s="1"/>
      <c r="B61" s="105" t="s">
        <v>257</v>
      </c>
      <c r="C61" s="106"/>
      <c r="D61" s="106"/>
      <c r="E61" s="106"/>
      <c r="F61" s="107"/>
      <c r="G61" s="24">
        <f>(G59+G60)*'Fane 14. Nøgletal'!C24</f>
        <v>1676794.5016158803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TuhNa07ZOr+eCSCiiKM98+RgiyXGBrLwrSIwSuCs/HpidoPGQTkgUW/ksA7HLUbdVC54chcGE2VIOeyacKUl9w==" saltValue="6qHQTXThOCUPednLjRaw6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243</v>
      </c>
      <c r="C9" s="106"/>
      <c r="D9" s="106"/>
      <c r="E9" s="106"/>
      <c r="F9" s="107"/>
      <c r="G9" s="23">
        <v>5.8241296015265516E-3</v>
      </c>
      <c r="H9" s="14"/>
      <c r="I9" s="1"/>
    </row>
    <row r="10" spans="1:9" x14ac:dyDescent="0.25">
      <c r="A10" s="1"/>
      <c r="B10" s="105" t="s">
        <v>86</v>
      </c>
      <c r="C10" s="106"/>
      <c r="D10" s="106"/>
      <c r="E10" s="106"/>
      <c r="F10" s="107"/>
      <c r="G10" s="23">
        <v>0</v>
      </c>
      <c r="H10" s="14"/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1">
        <v>5.3068198737882006E-3</v>
      </c>
      <c r="H11" s="14"/>
      <c r="I11" s="1"/>
    </row>
    <row r="12" spans="1:9" x14ac:dyDescent="0.25">
      <c r="A12" s="1"/>
      <c r="B12" s="105" t="s">
        <v>206</v>
      </c>
      <c r="C12" s="106"/>
      <c r="D12" s="106"/>
      <c r="E12" s="106"/>
      <c r="F12" s="107"/>
      <c r="G12" s="41">
        <v>1.2573293100187411E-2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6" t="s">
        <v>207</v>
      </c>
      <c r="C14" s="116"/>
      <c r="D14" s="116"/>
      <c r="E14" s="116"/>
      <c r="F14" s="116"/>
      <c r="G14" s="116"/>
      <c r="H14" s="116"/>
      <c r="I14" s="1"/>
    </row>
    <row r="15" spans="1:9" ht="14.25" customHeight="1" x14ac:dyDescent="0.25">
      <c r="A15" s="18"/>
      <c r="B15" s="116"/>
      <c r="C15" s="116"/>
      <c r="D15" s="116"/>
      <c r="E15" s="116"/>
      <c r="F15" s="116"/>
      <c r="G15" s="116"/>
      <c r="H15" s="116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ZOerXR7ktJjDgSkJr4sYHojU41z9Fs1sy/7SOWURgoMqA2Xt7sMPjFLEgN0pzvccB1zp6JZOkrZ1cifSQzjdA==" saltValue="HxpAMKkMVWLGlsXMHGARx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2023-05-31T08:02:25Z</dcterms:modified>
</cp:coreProperties>
</file>