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Drikkevand\NOVAFOS VAND HØRSHOLM AS (V102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Anlægsprojekter" sheetId="11" r:id="rId12"/>
    <sheet name="Fane 9.1. Varige tillæg" sheetId="37" r:id="rId13"/>
    <sheet name="Fane 9.2. Engangstillæg" sheetId="39" r:id="rId14"/>
    <sheet name="Fane 10. Tilknyttet virksomhed" sheetId="29" r:id="rId15"/>
    <sheet name="Fane 11. Bortfald" sheetId="21" r:id="rId16"/>
    <sheet name="Fane 12. Nøgletal" sheetId="26" r:id="rId17"/>
  </sheets>
  <externalReferences>
    <externalReference r:id="rId18"/>
  </externalReferences>
  <definedNames>
    <definedName name="Pris19">[1]Nøgletal!$C$5</definedName>
  </definedNames>
  <calcPr calcId="162913"/>
</workbook>
</file>

<file path=xl/calcChain.xml><?xml version="1.0" encoding="utf-8"?>
<calcChain xmlns="http://schemas.openxmlformats.org/spreadsheetml/2006/main">
  <c r="C16" i="19" l="1"/>
  <c r="E31" i="32" l="1"/>
  <c r="E16" i="27" l="1"/>
  <c r="E10" i="11" l="1"/>
  <c r="E15" i="32" l="1"/>
  <c r="E7" i="32"/>
  <c r="G6" i="30" l="1"/>
  <c r="G10" i="30" s="1"/>
  <c r="E32" i="21" l="1"/>
  <c r="E33" i="21" s="1"/>
  <c r="G48" i="36" s="1"/>
  <c r="C32" i="21"/>
  <c r="C33" i="21" s="1"/>
  <c r="G48" i="30" s="1"/>
  <c r="E25" i="21"/>
  <c r="E26" i="21" s="1"/>
  <c r="G42" i="36" s="1"/>
  <c r="C25" i="21"/>
  <c r="C26" i="21" s="1"/>
  <c r="G42" i="30" s="1"/>
  <c r="E18" i="21"/>
  <c r="E19" i="21" s="1"/>
  <c r="G36" i="36" s="1"/>
  <c r="C18" i="21"/>
  <c r="C19" i="21" s="1"/>
  <c r="G36" i="30" s="1"/>
  <c r="C11" i="15" l="1"/>
  <c r="C10" i="15"/>
  <c r="C9" i="22"/>
  <c r="C10" i="22"/>
  <c r="C10" i="23"/>
  <c r="C9" i="23"/>
  <c r="E35" i="39"/>
  <c r="E36" i="39" s="1"/>
  <c r="C35" i="39"/>
  <c r="C36" i="39" s="1"/>
  <c r="E27" i="39"/>
  <c r="E28" i="39" s="1"/>
  <c r="C27" i="39"/>
  <c r="C28" i="39" s="1"/>
  <c r="E19" i="39"/>
  <c r="E20" i="39" s="1"/>
  <c r="C19" i="39"/>
  <c r="C20" i="39" s="1"/>
  <c r="E11" i="39"/>
  <c r="E12" i="39" s="1"/>
  <c r="C11" i="39"/>
  <c r="C12" i="39" s="1"/>
  <c r="C13" i="39" l="1"/>
  <c r="C29" i="39"/>
  <c r="C21" i="39"/>
  <c r="E13" i="39"/>
  <c r="E29" i="39"/>
  <c r="C37" i="39"/>
  <c r="E21" i="39"/>
  <c r="E37" i="39"/>
  <c r="E38" i="39" l="1"/>
  <c r="C20" i="23" s="1"/>
  <c r="C38" i="39"/>
  <c r="C19" i="23" s="1"/>
  <c r="E14" i="39"/>
  <c r="C25" i="2" s="1"/>
  <c r="C30" i="39"/>
  <c r="C19" i="22" s="1"/>
  <c r="E22" i="39"/>
  <c r="C21" i="15" s="1"/>
  <c r="E30" i="39"/>
  <c r="C20" i="22" s="1"/>
  <c r="C22" i="39"/>
  <c r="C20" i="15" s="1"/>
  <c r="C14" i="39"/>
  <c r="C24" i="2" s="1"/>
  <c r="C21" i="22" l="1"/>
  <c r="C21" i="23"/>
  <c r="C22" i="15"/>
  <c r="C26" i="2"/>
  <c r="G6" i="36" l="1"/>
  <c r="G10" i="36" l="1"/>
  <c r="G12" i="30"/>
  <c r="G16" i="30" s="1"/>
  <c r="G12" i="36" l="1"/>
  <c r="G16" i="36" s="1"/>
  <c r="G19" i="36" l="1"/>
  <c r="G23" i="36" s="1"/>
  <c r="G25" i="36" l="1"/>
  <c r="G29" i="36" s="1"/>
  <c r="G19" i="30"/>
  <c r="G23" i="30" l="1"/>
  <c r="G25" i="30" s="1"/>
  <c r="E19" i="27"/>
  <c r="E23" i="32"/>
  <c r="E37" i="32" s="1"/>
  <c r="E39" i="32" s="1"/>
  <c r="C24" i="15" l="1"/>
  <c r="C28" i="2"/>
  <c r="F11" i="11"/>
  <c r="C10" i="37" s="1"/>
  <c r="C12" i="37" s="1"/>
  <c r="G11" i="11"/>
  <c r="C13" i="37" l="1"/>
  <c r="C10" i="2" s="1"/>
  <c r="E11" i="21"/>
  <c r="E12" i="21" s="1"/>
  <c r="C11" i="21"/>
  <c r="C12" i="21" s="1"/>
  <c r="E11" i="29"/>
  <c r="E12" i="29" s="1"/>
  <c r="C11" i="29"/>
  <c r="C12" i="29" s="1"/>
  <c r="C17" i="19"/>
  <c r="C17" i="23" l="1"/>
  <c r="C17" i="22"/>
  <c r="C18" i="15"/>
  <c r="C14" i="2"/>
  <c r="C15" i="2"/>
  <c r="C22" i="2"/>
  <c r="C13" i="2"/>
  <c r="C12" i="2"/>
  <c r="G30" i="30" l="1"/>
  <c r="G29" i="30" l="1"/>
  <c r="E18" i="27"/>
  <c r="G31" i="30" l="1"/>
  <c r="E11" i="11"/>
  <c r="E10" i="37" s="1"/>
  <c r="E12" i="37" s="1"/>
  <c r="G35" i="30" l="1"/>
  <c r="G37" i="30" s="1"/>
  <c r="C18" i="2"/>
  <c r="E13" i="37"/>
  <c r="C11" i="2" s="1"/>
  <c r="G30" i="36" s="1"/>
  <c r="G41" i="30" l="1"/>
  <c r="G43" i="30" s="1"/>
  <c r="C14" i="15"/>
  <c r="G31" i="36"/>
  <c r="C19" i="2" s="1"/>
  <c r="G35" i="36" l="1"/>
  <c r="G37" i="36" s="1"/>
  <c r="C15" i="15" s="1"/>
  <c r="G47" i="30"/>
  <c r="G49" i="30" s="1"/>
  <c r="C13" i="23" s="1"/>
  <c r="C13" i="22"/>
  <c r="E17" i="27"/>
  <c r="E20" i="27" s="1"/>
  <c r="E33" i="27" s="1"/>
  <c r="G41" i="36" l="1"/>
  <c r="G43" i="36" s="1"/>
  <c r="C14" i="22" s="1"/>
  <c r="C9" i="2"/>
  <c r="G47" i="36" l="1"/>
  <c r="G49" i="36" s="1"/>
  <c r="C14" i="23" s="1"/>
  <c r="C16" i="2"/>
  <c r="C17" i="2" s="1"/>
  <c r="C20" i="2" s="1"/>
  <c r="C29" i="2" s="1"/>
  <c r="C9" i="15" l="1"/>
  <c r="C12" i="15" l="1"/>
  <c r="C13" i="15" s="1"/>
  <c r="C16" i="15" s="1"/>
  <c r="C25" i="15" s="1"/>
  <c r="C8" i="22" l="1"/>
  <c r="C11" i="22" l="1"/>
  <c r="C12" i="22" l="1"/>
  <c r="C15" i="22" s="1"/>
  <c r="C22" i="22" s="1"/>
  <c r="C8" i="23" l="1"/>
  <c r="C11" i="23" l="1"/>
  <c r="C12" i="23" l="1"/>
  <c r="C15" i="23" s="1"/>
  <c r="C22" i="23" s="1"/>
</calcChain>
</file>

<file path=xl/sharedStrings.xml><?xml version="1.0" encoding="utf-8"?>
<sst xmlns="http://schemas.openxmlformats.org/spreadsheetml/2006/main" count="593" uniqueCount="248">
  <si>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</si>
  <si>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</si>
  <si>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</si>
  <si>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</si>
  <si>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</si>
  <si>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</si>
  <si>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</si>
  <si>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</si>
  <si>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</si>
  <si>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</si>
  <si>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</si>
  <si>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</si>
  <si>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</si>
  <si>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</si>
  <si>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</si>
  <si>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</si>
  <si>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</si>
  <si>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</si>
  <si>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</si>
  <si>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</si>
  <si>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</si>
  <si>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</si>
  <si>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ØR2018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</si>
  <si>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</si>
  <si>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</si>
  <si>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</si>
  <si>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</si>
  <si>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</si>
  <si>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</si>
  <si>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</si>
  <si>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</si>
  <si>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</si>
  <si>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</si>
  <si>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</si>
  <si>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</si>
  <si>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</si>
  <si>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</si>
  <si>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Korrektion af budgetterede omkostninger i prisloft 2016</t>
  </si>
  <si>
    <t>Kontrol for overholdelse af indtægtsrammen i prisloft 2016</t>
  </si>
  <si>
    <t>Korrektion og kontrol med prisloft 2016</t>
  </si>
  <si>
    <t>Fane 2.3</t>
  </si>
  <si>
    <t>Fane 2.4</t>
  </si>
  <si>
    <t>Anlægsprojekter</t>
  </si>
  <si>
    <t>Bortfald</t>
  </si>
  <si>
    <t>Anlægsprojekter igangsat inden 1. marts 2016</t>
  </si>
  <si>
    <t>Nye tillæg - Drift</t>
  </si>
  <si>
    <t>Nye tillæg - Anlæg</t>
  </si>
  <si>
    <t>Prisudvikling til brug for nye omkostninger i ØR2020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</si>
  <si>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</si>
  <si>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</si>
  <si>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</si>
  <si>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</si>
  <si>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</si>
  <si>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</si>
  <si>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</si>
  <si>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</si>
  <si>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</si>
  <si>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</si>
  <si>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</si>
  <si>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</si>
  <si>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</si>
  <si>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</si>
  <si>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</si>
  <si>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</si>
  <si>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</si>
  <si>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</si>
  <si>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</si>
  <si>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</si>
  <si>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</si>
  <si>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</si>
  <si>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Base for driftsomkostninger til de økonomiske rammer for 2021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</si>
  <si>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</si>
  <si>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</si>
  <si>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</si>
  <si>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</si>
  <si>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</si>
  <si>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</si>
  <si>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</si>
  <si>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</si>
  <si>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</si>
  <si>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</si>
  <si>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</si>
  <si>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</si>
  <si>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</si>
  <si>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</si>
  <si>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Base for anlægsomkostninger til de økonomiske rammer for 2021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</si>
  <si>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</si>
  <si>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</si>
  <si>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</si>
  <si>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</si>
  <si>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</si>
  <si>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</si>
  <si>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2023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</si>
  <si>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</si>
  <si>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</si>
  <si>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</si>
  <si>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</si>
  <si>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</si>
  <si>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</si>
  <si>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</si>
  <si>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</si>
  <si>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</si>
  <si>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</si>
  <si>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</si>
  <si>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</si>
  <si>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</si>
  <si>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</si>
  <si>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</si>
  <si>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</si>
  <si>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</si>
  <si>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</si>
  <si>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</si>
  <si>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</si>
  <si>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Kontrol med overholdelse af indtægtsrammer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</si>
  <si>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</si>
  <si>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</si>
  <si>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</si>
  <si>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</si>
  <si>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</si>
  <si>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</si>
  <si>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</si>
  <si>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</si>
  <si>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</si>
  <si>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</si>
  <si>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Individuelt effektiviseringskrav til de økonomiske rammer for 2019-2020</t>
  </si>
  <si>
    <t>Til indregning i de økonomiske rammer for 2021-2022</t>
  </si>
  <si>
    <t>Generelt effektiviseringskrav til anlægsomkostningerne</t>
  </si>
  <si>
    <t>Generelt effektiviseringskrav til driftsomkostningerne</t>
  </si>
  <si>
    <t>Fane 12</t>
  </si>
  <si>
    <t>Nøgletal</t>
  </si>
  <si>
    <t>Antal år i næste reguleringsperiode</t>
  </si>
  <si>
    <t>Korrektion og kontrol med prisloft 2016 i alt</t>
  </si>
  <si>
    <t xml:space="preserve">Note: Denne opgørelse er taget fra jeres statusmeddelelse for den økonomiske ramme for 2018. I kan derfor ikke komme med høringssvar til denne opgørelse. </t>
  </si>
  <si>
    <t xml:space="preserve">Note: Denne opgørelse er taget fra jeres afgørelse for den økonomiske ramme for 2019. I kan derfor ikke komme med høringssvar til denne opgørelse. </t>
  </si>
  <si>
    <t>Fane 4.1</t>
  </si>
  <si>
    <t>Fane 4.2</t>
  </si>
  <si>
    <t>Fane 6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</si>
  <si>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</si>
  <si>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</si>
  <si>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</si>
  <si>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</si>
  <si>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Prisudvikling til brug for ØR2017-2018</t>
  </si>
  <si>
    <t>Prisudvikling til brug for ØR2019-2020</t>
  </si>
  <si>
    <t>Generelt effektiviseringskrav til brug for anlægsomkostninger i ØR2017-2018</t>
  </si>
  <si>
    <t>Generelt effektiviseringskrav til brug for nye anlægsomkostninger i ØR2018</t>
  </si>
  <si>
    <t>Generelt effektiviseringskrav til brug for anlægsomkostninger i ØR2019-2020</t>
  </si>
  <si>
    <t>Generelt effektiviseringskrav til brug for nye anlægsomkostninger i ØR2020</t>
  </si>
  <si>
    <t>Generelt effektiviseringskrav til brug for driftsomkostninger</t>
  </si>
  <si>
    <t>Korrektion af driftsomkostninger i grundlaget</t>
  </si>
  <si>
    <t>Korrektion af anlægsomkostninger i grundlaget</t>
  </si>
  <si>
    <t>Fane 3</t>
  </si>
  <si>
    <t>Samlet økonomisk ramme for 2021</t>
  </si>
  <si>
    <t>Vejledende økonomisk ramme for 2024</t>
  </si>
  <si>
    <t>Omkostninger i ØR2020</t>
  </si>
  <si>
    <t>Kontrol af den økonomiske ramme for 2019</t>
  </si>
  <si>
    <t>Tilknyttet virksomhed</t>
  </si>
  <si>
    <t>Tilknyttet virksomhed under hovedvirksomheden</t>
  </si>
  <si>
    <t>Beskrivelse af tilknyttet virksomhed</t>
  </si>
  <si>
    <t>Tilknyttet virksomhed under hovedvirksomheden i alt (2019-prisniveau)</t>
  </si>
  <si>
    <t>Tidligere tilknyttet virksomhed - Drift</t>
  </si>
  <si>
    <t>Tidligere tilknyttet virksomhed - Anlæg</t>
  </si>
  <si>
    <t>Fane 2.1: Samlet økonomisk ramme for 2021</t>
  </si>
  <si>
    <t>Fane 2.2: Samlet økonomisk ramme for 2022</t>
  </si>
  <si>
    <t>Fane 2.3: Samlet økonomisk ramme for 2023</t>
  </si>
  <si>
    <t>Fane 2.4: Samlet økonomisk ramme for 2024</t>
  </si>
  <si>
    <t>Videreførte omkostninger fra den økonomiske ramme for 2022</t>
  </si>
  <si>
    <t>Videreførte omkostninger fra den økonomiske ramme for 2023</t>
  </si>
  <si>
    <t>Oversigt over den økonomiske ramme for 2020</t>
  </si>
  <si>
    <t>Faktiske ikke-påvirkelige omkostninger i 2019</t>
  </si>
  <si>
    <t>Ikke-påvirkelige omkostninger i 2019-prisniveau</t>
  </si>
  <si>
    <t>Ikke-påvirkelige omkostninger i 2021-prisniveau</t>
  </si>
  <si>
    <t>Faktiske omkostninger i 2019</t>
  </si>
  <si>
    <t>Fane 7: Kontrol med overholdelse af den økonomiske ramme for 2019</t>
  </si>
  <si>
    <t>Nye tillæg i alt i 2020-prisniveau</t>
  </si>
  <si>
    <t>Engangstillæg i alt i 2019-prisniveau</t>
  </si>
  <si>
    <t>Engangstillæg i alt i 2022-prisniveau</t>
  </si>
  <si>
    <t>Engangstillæg til de økonomiske rammer for 2024</t>
  </si>
  <si>
    <t>Tilknyttet virksomhed under hovedvirksomheden i alt (2020-prisniveau)</t>
  </si>
  <si>
    <t>Prisudvikling til brug for nye omkostninger i ØR2021</t>
  </si>
  <si>
    <t xml:space="preserve">Note: Denne opgørelse er taget fra jeres afgørelse for den økonomiske ramme for 2020. I kan derfor ikke komme med høringssvar til denne opgørelse. </t>
  </si>
  <si>
    <t>Fane 3: Videreførte omkostninger fra den økonomiske ramme for 2020</t>
  </si>
  <si>
    <t>Individuelt effektiviseringskrav til de økonomiske rammer for 2021-2022</t>
  </si>
  <si>
    <t>Bortfald eller nedsættelse fra og med de økonomiske rammer for 2024</t>
  </si>
  <si>
    <t>Bortfald eller nedsættelse i alt i 2023-prisniveau</t>
  </si>
  <si>
    <t>Engangstillæg i alt i 2023-prisniveau</t>
  </si>
  <si>
    <t>Engangstillæg i alt i 2024-prisniveau</t>
  </si>
  <si>
    <t>Generelt effektiviseringskrav til brug for nye anlægsomkostninger i ØR2021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</si>
  <si>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</si>
  <si>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</si>
  <si>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</si>
  <si>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</si>
  <si>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</si>
  <si>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</si>
  <si>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</si>
  <si>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</si>
  <si>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</si>
  <si>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</si>
  <si>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Anlægsprojekter igangsat senest den 1. marts 2016</t>
  </si>
  <si>
    <t>Anlægsprojekter igangsat senest den 1. marts 2016 i alt</t>
  </si>
  <si>
    <t>Generelt effektiviseringskrav til driftsomkostningerne i ØR21</t>
  </si>
  <si>
    <t>Kontrol med overholdelse af den økonomiske ramme for 2019</t>
  </si>
  <si>
    <t>Indtægtsramme i den økonomiske ramme for 2019</t>
  </si>
  <si>
    <t>Faktiske indtægter i 2019</t>
  </si>
  <si>
    <t>Kontrol med de økonomiske rammer til indregning</t>
  </si>
  <si>
    <t>Kontrol med overholdelse af økonomiske rammer</t>
  </si>
  <si>
    <t>Kontrol med overholdelse af den økonomiske ramme</t>
  </si>
  <si>
    <t>Til økonomiske rammer for 2021 og 2022</t>
  </si>
  <si>
    <t>Samlet økonomisk ramme for 2022</t>
  </si>
  <si>
    <t>Difference (2017-prisniveau)</t>
  </si>
  <si>
    <t>Difference (2018-prisniveau)</t>
  </si>
  <si>
    <t>Difference (2019-prisniveau)</t>
  </si>
  <si>
    <t>Fane 12: Nøgletal</t>
  </si>
  <si>
    <t>Fane 11: Bortfald eller nedsættelse af omkostninger til mål, medfinansiering eller udvidelse</t>
  </si>
  <si>
    <t>Fane 10: Tilknyttet virksomhed under hovedvirksomheden</t>
  </si>
  <si>
    <t>Fane 9.2: Engangstillæg</t>
  </si>
  <si>
    <t>Fane 9.1: Varige tillæg</t>
  </si>
  <si>
    <t>Fane 8: Anlægsprojekter igangsat senest den 1. marts 2016</t>
  </si>
  <si>
    <t>Fane 9.1</t>
  </si>
  <si>
    <t>Fane 9.2</t>
  </si>
  <si>
    <t>Fane 10</t>
  </si>
  <si>
    <t>Generelt effektiviseringskrav til anlægsomkostninger i de økonomiske rammer for 2021</t>
  </si>
  <si>
    <t>Generelt effektiviseringskrav til anlægsomkostningerne i ØR21</t>
  </si>
  <si>
    <t>Generelt effektiviseringskrav til driftsomkostninger i de økonomiske rammer for 2021</t>
  </si>
  <si>
    <t>Generelt effektiviseringskrav til driftsomkostninger i de økonomiske rammer for 2022</t>
  </si>
  <si>
    <t>Generelt effektiviseringskrav til driftsomkostningerne i ØR22</t>
  </si>
  <si>
    <t>Generelt effektiviseringskrav til anlægsomkostninger i de økonomiske rammer for 2022</t>
  </si>
  <si>
    <t>Generelt effektiviseringskrav til anlægsomkostningerne i ØR22</t>
  </si>
  <si>
    <t>Beregningen af jeres individuelle effektiviseringskrav fremgår af metodepapir samt bilag til benchmarkingmodellen 2021</t>
  </si>
  <si>
    <t>Historisk over- eller underdækning</t>
  </si>
  <si>
    <t>Tillæg/fradrag for historisk over- eller underdækning</t>
  </si>
  <si>
    <t>Korrektion og kontrol med overholdelse af indtægtsrammer</t>
  </si>
  <si>
    <t>Tillæg/fradrag for kontrol af den økonomiske ramme for 2018</t>
  </si>
  <si>
    <t>Korrektion af den økonomiske ramme for 2018</t>
  </si>
  <si>
    <t>Tillæg/fradrag for korrektion af den økonomiske ramme for 2018</t>
  </si>
  <si>
    <t>Afgift for ledningsført vand</t>
  </si>
  <si>
    <t>Afgift til Forsyningssekretariatet</t>
  </si>
  <si>
    <t>Køb af ydelser og produkter fra andre vandselskaber reguleret af vandsektorloven</t>
  </si>
  <si>
    <t>Ejendomsskat</t>
  </si>
  <si>
    <t>Ingen tilknyttet virksomhed</t>
  </si>
  <si>
    <t>Ingen bortfald eller nedsættelse</t>
  </si>
  <si>
    <t xml:space="preserve">Udvidelse af forsyningsområde </t>
  </si>
  <si>
    <t>Ingen engangstillæg</t>
  </si>
  <si>
    <t>Økonomisk ramme for 2024</t>
  </si>
  <si>
    <t>Ingen anlægsprojekter</t>
  </si>
  <si>
    <t>Yderligere opkrævningsret efter § 17, stk. 10 - 2017</t>
  </si>
  <si>
    <t>Yderligere opkrævningsret efter § 17, stk. 10 - 2018</t>
  </si>
  <si>
    <t>Køb af ydelser og produkter fra andre vandselskaber reguleret af vandsektorloven (Overdam Vandforsyning)</t>
  </si>
  <si>
    <t>Afgift for ledningsført vand (Overdam Vandforsyning)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</si>
</sst>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4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6" fillId="0" borderId="2" xfId="0" applyFont="1" applyFill="1" applyBorder="1" applyAlignment="1" applyProtection="1"/>
    <xf numFmtId="3" fontId="16" fillId="0" borderId="1" xfId="0" applyNumberFormat="1" applyFont="1" applyFill="1" applyBorder="1" applyProtection="1"/>
    <xf numFmtId="0" fontId="16" fillId="0" borderId="1" xfId="0" applyFont="1" applyFill="1" applyBorder="1" applyProtection="1"/>
    <xf numFmtId="0" fontId="15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3" fontId="7" fillId="3" borderId="6" xfId="0" applyNumberFormat="1" applyFont="1" applyFill="1" applyBorder="1" applyAlignment="1" applyProtection="1"/>
    <xf numFmtId="0" fontId="12" fillId="2" borderId="0" xfId="0" applyFont="1" applyFill="1" applyBorder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7" fillId="3" borderId="1" xfId="0" applyFont="1" applyFill="1" applyBorder="1" applyAlignment="1" applyProtection="1"/>
    <xf numFmtId="0" fontId="8" fillId="8" borderId="2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8" borderId="2" xfId="0" applyFont="1" applyFill="1" applyBorder="1" applyAlignment="1" applyProtection="1"/>
    <xf numFmtId="0" fontId="8" fillId="4" borderId="2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wrapText="1"/>
    </xf>
    <xf numFmtId="0" fontId="8" fillId="8" borderId="6" xfId="0" quotePrefix="1" applyFont="1" applyFill="1" applyBorder="1" applyAlignment="1" applyProtection="1">
      <alignment wrapText="1"/>
    </xf>
    <xf numFmtId="0" fontId="8" fillId="8" borderId="3" xfId="0" quotePrefix="1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6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wrapText="1"/>
    </xf>
    <xf numFmtId="0" fontId="8" fillId="8" borderId="6" xfId="0" applyFont="1" applyFill="1" applyBorder="1" applyAlignment="1" applyProtection="1">
      <alignment wrapText="1"/>
    </xf>
    <xf numFmtId="0" fontId="8" fillId="8" borderId="3" xfId="0" applyFont="1" applyFill="1" applyBorder="1" applyAlignment="1" applyProtection="1">
      <alignment wrapText="1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/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/>
    </xf>
    <xf numFmtId="0" fontId="0" fillId="2" borderId="0" xfId="0" applyFill="1" applyAlignment="1" applyProtection="1">
      <alignment horizont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VAND/Sagsbehandling/&#216;R-statusark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kro1"/>
      <sheetName val="ØR22-25"/>
      <sheetName val="ØR21-24"/>
      <sheetName val="ØR20-23"/>
      <sheetName val="ØR19-22"/>
      <sheetName val="ØR18"/>
      <sheetName val="ØR17-20"/>
      <sheetName val="Nøgletal"/>
      <sheetName val="Farvekode forklaring"/>
      <sheetName val="Ark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5">
          <cell r="C5">
            <v>1.0168999999999999</v>
          </cell>
        </row>
      </sheetData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67" t="s">
        <v>4</v>
      </c>
      <c r="E6" s="67"/>
      <c r="F6" s="67"/>
      <c r="G6" s="67"/>
      <c r="H6" s="3"/>
      <c r="I6" s="1"/>
    </row>
    <row r="7" spans="1:9" ht="15" customHeight="1" x14ac:dyDescent="0.25">
      <c r="A7" s="1"/>
      <c r="B7" s="1"/>
      <c r="C7" s="3"/>
      <c r="D7" s="67"/>
      <c r="E7" s="67"/>
      <c r="F7" s="67"/>
      <c r="G7" s="67"/>
      <c r="H7" s="3"/>
      <c r="I7" s="1"/>
    </row>
    <row r="8" spans="1:9" ht="15.75" x14ac:dyDescent="0.25">
      <c r="A8" s="1"/>
      <c r="B8" s="1"/>
      <c r="C8" s="4"/>
      <c r="D8" s="69" t="s">
        <v>206</v>
      </c>
      <c r="E8" s="69"/>
      <c r="F8" s="69"/>
      <c r="G8" s="69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68" t="s">
        <v>5</v>
      </c>
      <c r="E11" s="68"/>
      <c r="F11" s="68"/>
      <c r="G11" s="68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4" t="s">
        <v>151</v>
      </c>
      <c r="E13" s="65"/>
      <c r="F13" s="65"/>
      <c r="G13" s="66"/>
      <c r="H13" s="1"/>
      <c r="I13" s="1"/>
    </row>
    <row r="14" spans="1:9" x14ac:dyDescent="0.25">
      <c r="A14" s="1"/>
      <c r="B14" s="1"/>
      <c r="C14" s="6" t="s">
        <v>15</v>
      </c>
      <c r="D14" s="64" t="s">
        <v>207</v>
      </c>
      <c r="E14" s="65"/>
      <c r="F14" s="65"/>
      <c r="G14" s="66"/>
      <c r="H14" s="1"/>
      <c r="I14" s="1"/>
    </row>
    <row r="15" spans="1:9" x14ac:dyDescent="0.25">
      <c r="A15" s="1"/>
      <c r="B15" s="1"/>
      <c r="C15" s="6" t="s">
        <v>40</v>
      </c>
      <c r="D15" s="64" t="s">
        <v>93</v>
      </c>
      <c r="E15" s="65"/>
      <c r="F15" s="65"/>
      <c r="G15" s="66"/>
      <c r="H15" s="1"/>
      <c r="I15" s="1"/>
    </row>
    <row r="16" spans="1:9" x14ac:dyDescent="0.25">
      <c r="A16" s="1"/>
      <c r="B16" s="1"/>
      <c r="C16" s="6" t="s">
        <v>41</v>
      </c>
      <c r="D16" s="64" t="s">
        <v>152</v>
      </c>
      <c r="E16" s="65"/>
      <c r="F16" s="65"/>
      <c r="G16" s="66"/>
      <c r="H16" s="1"/>
      <c r="I16" s="1"/>
    </row>
    <row r="17" spans="1:9" x14ac:dyDescent="0.25">
      <c r="A17" s="1"/>
      <c r="B17" s="1"/>
      <c r="C17" s="6" t="s">
        <v>150</v>
      </c>
      <c r="D17" s="64" t="s">
        <v>153</v>
      </c>
      <c r="E17" s="65"/>
      <c r="F17" s="65"/>
      <c r="G17" s="66"/>
      <c r="H17" s="1"/>
      <c r="I17" s="1"/>
    </row>
    <row r="18" spans="1:9" x14ac:dyDescent="0.25">
      <c r="A18" s="1"/>
      <c r="B18" s="1"/>
      <c r="C18" s="33" t="s">
        <v>134</v>
      </c>
      <c r="D18" s="70" t="s">
        <v>114</v>
      </c>
      <c r="E18" s="71"/>
      <c r="F18" s="71"/>
      <c r="G18" s="72"/>
      <c r="H18" s="1"/>
      <c r="I18" s="1"/>
    </row>
    <row r="19" spans="1:9" x14ac:dyDescent="0.25">
      <c r="A19" s="1"/>
      <c r="B19" s="1"/>
      <c r="C19" s="33" t="s">
        <v>135</v>
      </c>
      <c r="D19" s="70" t="s">
        <v>115</v>
      </c>
      <c r="E19" s="71"/>
      <c r="F19" s="71"/>
      <c r="G19" s="72"/>
      <c r="H19" s="1"/>
      <c r="I19" s="1"/>
    </row>
    <row r="20" spans="1:9" x14ac:dyDescent="0.25">
      <c r="A20" s="1"/>
      <c r="B20" s="1"/>
      <c r="C20" s="33" t="s">
        <v>7</v>
      </c>
      <c r="D20" s="70" t="s">
        <v>9</v>
      </c>
      <c r="E20" s="71"/>
      <c r="F20" s="71"/>
      <c r="G20" s="72"/>
      <c r="H20" s="1"/>
      <c r="I20" s="1"/>
    </row>
    <row r="21" spans="1:9" x14ac:dyDescent="0.25">
      <c r="A21" s="1"/>
      <c r="B21" s="1"/>
      <c r="C21" s="6" t="s">
        <v>136</v>
      </c>
      <c r="D21" s="61" t="s">
        <v>12</v>
      </c>
      <c r="E21" s="62"/>
      <c r="F21" s="62"/>
      <c r="G21" s="63"/>
      <c r="H21" s="1"/>
      <c r="I21" s="1"/>
    </row>
    <row r="22" spans="1:9" x14ac:dyDescent="0.25">
      <c r="A22" s="1"/>
      <c r="B22" s="1"/>
      <c r="C22" s="6" t="s">
        <v>97</v>
      </c>
      <c r="D22" s="55" t="s">
        <v>154</v>
      </c>
      <c r="E22" s="56"/>
      <c r="F22" s="56"/>
      <c r="G22" s="57"/>
      <c r="H22" s="1"/>
      <c r="I22" s="1"/>
    </row>
    <row r="23" spans="1:9" x14ac:dyDescent="0.25">
      <c r="A23" s="1"/>
      <c r="B23" s="1"/>
      <c r="C23" s="6" t="s">
        <v>8</v>
      </c>
      <c r="D23" s="55" t="s">
        <v>42</v>
      </c>
      <c r="E23" s="56"/>
      <c r="F23" s="56"/>
      <c r="G23" s="57"/>
      <c r="H23" s="1"/>
      <c r="I23" s="1"/>
    </row>
    <row r="24" spans="1:9" x14ac:dyDescent="0.25">
      <c r="A24" s="1"/>
      <c r="B24" s="1"/>
      <c r="C24" s="6" t="s">
        <v>217</v>
      </c>
      <c r="D24" s="55" t="s">
        <v>98</v>
      </c>
      <c r="E24" s="56"/>
      <c r="F24" s="56"/>
      <c r="G24" s="57"/>
      <c r="H24" s="1"/>
      <c r="I24" s="1"/>
    </row>
    <row r="25" spans="1:9" x14ac:dyDescent="0.25">
      <c r="A25" s="1"/>
      <c r="B25" s="1"/>
      <c r="C25" s="6" t="s">
        <v>218</v>
      </c>
      <c r="D25" s="55" t="s">
        <v>99</v>
      </c>
      <c r="E25" s="56"/>
      <c r="F25" s="56"/>
      <c r="G25" s="57"/>
      <c r="H25" s="1"/>
      <c r="I25" s="1"/>
    </row>
    <row r="26" spans="1:9" x14ac:dyDescent="0.25">
      <c r="A26" s="1"/>
      <c r="B26" s="1"/>
      <c r="C26" s="6" t="s">
        <v>219</v>
      </c>
      <c r="D26" s="55" t="s">
        <v>155</v>
      </c>
      <c r="E26" s="56"/>
      <c r="F26" s="56"/>
      <c r="G26" s="57"/>
      <c r="H26" s="1"/>
      <c r="I26" s="1"/>
    </row>
    <row r="27" spans="1:9" x14ac:dyDescent="0.25">
      <c r="A27" s="1"/>
      <c r="B27" s="1"/>
      <c r="C27" s="6" t="s">
        <v>137</v>
      </c>
      <c r="D27" s="55" t="s">
        <v>43</v>
      </c>
      <c r="E27" s="56"/>
      <c r="F27" s="56"/>
      <c r="G27" s="57"/>
      <c r="H27" s="1"/>
      <c r="I27" s="1"/>
    </row>
    <row r="28" spans="1:9" x14ac:dyDescent="0.25">
      <c r="A28" s="1"/>
      <c r="B28" s="1"/>
      <c r="C28" s="6" t="s">
        <v>128</v>
      </c>
      <c r="D28" s="58" t="s">
        <v>129</v>
      </c>
      <c r="E28" s="59"/>
      <c r="F28" s="59"/>
      <c r="G28" s="60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OXFfozcFK0Hk8Dq32y3dwnJCx0exqJ2EWJ5t8Hh0TnCdXWH82HkSyV1xT+Ue2/Iqt97apVyK9Ro10kjykXLRfg==" saltValue="lJ2YRvy1E8kFQlrTdgdXUw==" spinCount="100000" sheet="1" objects="1" scenarios="1"/>
  <mergeCells count="19">
    <mergeCell ref="D14:G14"/>
    <mergeCell ref="D6:G7"/>
    <mergeCell ref="D22:G22"/>
    <mergeCell ref="D11:G11"/>
    <mergeCell ref="D8:G8"/>
    <mergeCell ref="D15:G15"/>
    <mergeCell ref="D16:G16"/>
    <mergeCell ref="D13:G13"/>
    <mergeCell ref="D17:G17"/>
    <mergeCell ref="D18:G18"/>
    <mergeCell ref="D19:G19"/>
    <mergeCell ref="D20:G20"/>
    <mergeCell ref="D27:G27"/>
    <mergeCell ref="D28:G28"/>
    <mergeCell ref="D21:G21"/>
    <mergeCell ref="D23:G23"/>
    <mergeCell ref="D24:G24"/>
    <mergeCell ref="D26:G26"/>
    <mergeCell ref="D25:G25"/>
  </mergeCells>
  <hyperlinks>
    <hyperlink ref="D14:G14" location="'Fane 2.2. Økonomisk ramme 2022'!A1" display="Vejledende økonomisk ramme for 2022"/>
    <hyperlink ref="D24:G24" location="'Fane 9.1. Varige tillæg'!A1" display="Varige tillæg"/>
    <hyperlink ref="D26:G26" location="'Fane 10. Tilknyttet virksomhed'!A1" display="Tilknyttet virksomhed"/>
    <hyperlink ref="D27:G27" location="'Fane 11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1:G21" location="'Fane 6. Ikke-påvirkelige omk.'!A1" display="Ikke-påvirkelige omkostninger"/>
    <hyperlink ref="D22:G22" location="'Fane 7. Kontrol af ØR2019'!A1" display="Kontrol af den økonomiske ramme for 2019"/>
    <hyperlink ref="D23:G23" location="'Fane 8. Anlægsprojekter'!A1" display="Anlægsprojekter"/>
    <hyperlink ref="D28:G28" location="'Fane 12. Nøgletal'!A1" display="Nøgletal"/>
    <hyperlink ref="D17:G17" location="'Fane 3. Omkostninger i ØR2020'!A1" display="Omkostninger i ØR2020"/>
    <hyperlink ref="D25:G25" location="'Fane 9.2. Engangstillæg'!A1" display="Engangstillæg"/>
    <hyperlink ref="D19:G19" location="'Fane 4.2. Gen. krav - anlæg'!A1" display="Generelt effektiviseringskrav på anlæg"/>
    <hyperlink ref="D18:G18" location="'Fane 4.1. Gen. krav - drift'!A1" display="Generelt effektiviseringskrav på drift"/>
    <hyperlink ref="D20:G20" location="'Fane 5. Individuelt eff. krav'!A1" display="Individuelt effektiviseringskrav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3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7.7109375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3" t="s">
        <v>140</v>
      </c>
      <c r="C3" s="73"/>
      <c r="D3" s="73"/>
      <c r="E3" s="1"/>
      <c r="F3" s="1"/>
    </row>
    <row r="4" spans="1:6" ht="15" customHeight="1" x14ac:dyDescent="0.25">
      <c r="A4" s="1"/>
      <c r="B4" s="73"/>
      <c r="C4" s="73"/>
      <c r="D4" s="73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6" t="s">
        <v>168</v>
      </c>
      <c r="C8" s="97"/>
      <c r="D8" s="98"/>
      <c r="E8" s="1"/>
      <c r="F8" s="1"/>
    </row>
    <row r="9" spans="1:6" ht="15" customHeight="1" x14ac:dyDescent="0.25">
      <c r="A9" s="1"/>
      <c r="B9" s="45" t="s">
        <v>35</v>
      </c>
      <c r="C9" s="11" t="s">
        <v>171</v>
      </c>
      <c r="D9" s="11"/>
      <c r="E9" s="1"/>
      <c r="F9" s="1"/>
    </row>
    <row r="10" spans="1:6" ht="15" customHeight="1" x14ac:dyDescent="0.25">
      <c r="A10" s="1"/>
      <c r="B10" s="48" t="s">
        <v>234</v>
      </c>
      <c r="C10" s="9">
        <v>7806055</v>
      </c>
      <c r="D10" s="14" t="s">
        <v>3</v>
      </c>
      <c r="E10" s="1"/>
      <c r="F10" s="1"/>
    </row>
    <row r="11" spans="1:6" x14ac:dyDescent="0.25">
      <c r="A11" s="1"/>
      <c r="B11" s="48" t="s">
        <v>235</v>
      </c>
      <c r="C11" s="9">
        <v>44228</v>
      </c>
      <c r="D11" s="14" t="s">
        <v>3</v>
      </c>
      <c r="E11" s="1"/>
      <c r="F11" s="1"/>
    </row>
    <row r="12" spans="1:6" x14ac:dyDescent="0.25">
      <c r="A12" s="1"/>
      <c r="B12" s="48" t="s">
        <v>236</v>
      </c>
      <c r="C12" s="9">
        <v>4742831</v>
      </c>
      <c r="D12" s="14" t="s">
        <v>3</v>
      </c>
      <c r="E12" s="1"/>
      <c r="F12" s="1"/>
    </row>
    <row r="13" spans="1:6" x14ac:dyDescent="0.25">
      <c r="A13" s="1"/>
      <c r="B13" s="48" t="s">
        <v>237</v>
      </c>
      <c r="C13" s="9">
        <v>84593</v>
      </c>
      <c r="D13" s="14" t="s">
        <v>3</v>
      </c>
      <c r="E13" s="1"/>
      <c r="F13" s="1"/>
    </row>
    <row r="14" spans="1:6" x14ac:dyDescent="0.25">
      <c r="A14" s="1"/>
      <c r="B14" s="54" t="s">
        <v>246</v>
      </c>
      <c r="C14" s="9">
        <v>19323</v>
      </c>
      <c r="D14" s="14" t="s">
        <v>3</v>
      </c>
      <c r="E14" s="1"/>
      <c r="F14" s="1"/>
    </row>
    <row r="15" spans="1:6" x14ac:dyDescent="0.25">
      <c r="A15" s="1"/>
      <c r="B15" s="54" t="s">
        <v>247</v>
      </c>
      <c r="C15" s="9">
        <v>38207</v>
      </c>
      <c r="D15" s="14" t="s">
        <v>3</v>
      </c>
      <c r="E15" s="1"/>
      <c r="F15" s="1"/>
    </row>
    <row r="16" spans="1:6" x14ac:dyDescent="0.25">
      <c r="A16" s="1"/>
      <c r="B16" s="40" t="s">
        <v>169</v>
      </c>
      <c r="C16" s="12">
        <f>SUM(C10:C15)</f>
        <v>12735237</v>
      </c>
      <c r="D16" s="13" t="s">
        <v>3</v>
      </c>
      <c r="E16" s="1"/>
      <c r="F16" s="1"/>
    </row>
    <row r="17" spans="1:6" x14ac:dyDescent="0.25">
      <c r="A17" s="1"/>
      <c r="B17" s="40" t="s">
        <v>170</v>
      </c>
      <c r="C17" s="12">
        <f>C16*(1+'Fane 12. Nøgletal'!C13)^2</f>
        <v>13047872.295475081</v>
      </c>
      <c r="D17" s="13" t="s">
        <v>3</v>
      </c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16"/>
      <c r="C19" s="15"/>
      <c r="D19" s="15"/>
      <c r="E19" s="1"/>
      <c r="F19" s="1"/>
    </row>
    <row r="20" spans="1:6" x14ac:dyDescent="0.25">
      <c r="A20" s="1"/>
      <c r="B20" s="1"/>
      <c r="C20" s="1"/>
      <c r="D20" s="1"/>
      <c r="E20" s="1"/>
      <c r="F20" s="1"/>
    </row>
    <row r="21" spans="1:6" x14ac:dyDescent="0.25">
      <c r="A21" s="1"/>
      <c r="B21" s="1"/>
      <c r="C21" s="1"/>
      <c r="D21" s="1"/>
      <c r="E21" s="1"/>
      <c r="F21" s="1"/>
    </row>
    <row r="22" spans="1:6" x14ac:dyDescent="0.25">
      <c r="A22" s="1"/>
      <c r="B22" s="1"/>
      <c r="C22" s="1"/>
      <c r="D22" s="1"/>
      <c r="E22" s="1"/>
      <c r="F22" s="1"/>
    </row>
    <row r="23" spans="1:6" x14ac:dyDescent="0.25">
      <c r="A23" s="1"/>
      <c r="B23" s="1"/>
      <c r="C23" s="1"/>
      <c r="D23" s="1"/>
      <c r="E23" s="1"/>
      <c r="F23" s="1"/>
    </row>
    <row r="24" spans="1:6" x14ac:dyDescent="0.25">
      <c r="A24" s="1"/>
      <c r="B24" s="1"/>
      <c r="C24" s="1"/>
      <c r="D24" s="1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1"/>
      <c r="C27" s="1"/>
      <c r="D27" s="1"/>
      <c r="E27" s="1"/>
      <c r="F27" s="1"/>
    </row>
    <row r="28" spans="1:6" x14ac:dyDescent="0.25">
      <c r="A28" s="1"/>
      <c r="B28" s="1"/>
      <c r="C28" s="1"/>
      <c r="D28" s="1"/>
      <c r="E28" s="1"/>
      <c r="F28" s="1"/>
    </row>
    <row r="29" spans="1:6" x14ac:dyDescent="0.25">
      <c r="A29" s="1"/>
      <c r="B29" s="1"/>
      <c r="C29" s="1"/>
      <c r="D29" s="1"/>
      <c r="E29" s="1"/>
      <c r="F29" s="1"/>
    </row>
    <row r="30" spans="1:6" x14ac:dyDescent="0.25">
      <c r="A30" s="1"/>
      <c r="B30" s="1"/>
      <c r="C30" s="1"/>
      <c r="D30" s="1"/>
      <c r="E30" s="1"/>
      <c r="F30" s="1"/>
    </row>
    <row r="31" spans="1:6" x14ac:dyDescent="0.25">
      <c r="A31" s="1"/>
      <c r="B31" s="1"/>
      <c r="C31" s="1"/>
      <c r="D31" s="1"/>
      <c r="E31" s="1"/>
      <c r="F31" s="1"/>
    </row>
    <row r="32" spans="1:6" x14ac:dyDescent="0.25">
      <c r="A32" s="1"/>
      <c r="B32" s="1"/>
      <c r="C32" s="1"/>
      <c r="D32" s="1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  <row r="53" spans="1:6" x14ac:dyDescent="0.25">
      <c r="A53" s="1"/>
      <c r="B53" s="1"/>
      <c r="C53" s="1"/>
      <c r="D53" s="1"/>
      <c r="E53" s="1"/>
      <c r="F53" s="1"/>
    </row>
  </sheetData>
  <sheetProtection algorithmName="SHA-512" hashValue="vSsdbb0UqlgzRGjPU0vzz3WCeGD5tmmluv4e+uo2Rf1STdPjG7KUMe3FkXA9SMFslMmoqFfI4btYjU9b2kGQMA==" saltValue="O36EoGzpv7kklmhhD1FwNA==" spinCount="100000" sheet="1" objects="1" scenarios="1"/>
  <mergeCells count="2">
    <mergeCell ref="B3:D4"/>
    <mergeCell ref="B8:D8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47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7.71093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ht="29.25" customHeight="1" x14ac:dyDescent="0.25">
      <c r="A2" s="1"/>
      <c r="B2" s="83" t="s">
        <v>172</v>
      </c>
      <c r="C2" s="83"/>
      <c r="D2" s="83"/>
      <c r="E2" s="83"/>
      <c r="F2" s="83"/>
      <c r="G2" s="1"/>
    </row>
    <row r="3" spans="1:7" ht="15" customHeight="1" x14ac:dyDescent="0.25">
      <c r="A3" s="1"/>
      <c r="B3" s="83"/>
      <c r="C3" s="83"/>
      <c r="D3" s="83"/>
      <c r="E3" s="83"/>
      <c r="F3" s="83"/>
      <c r="G3" s="1"/>
    </row>
    <row r="4" spans="1:7" ht="15" customHeight="1" x14ac:dyDescent="0.25">
      <c r="A4" s="1"/>
      <c r="B4" s="96" t="s">
        <v>39</v>
      </c>
      <c r="C4" s="97"/>
      <c r="D4" s="97"/>
      <c r="E4" s="97"/>
      <c r="F4" s="98"/>
      <c r="G4" s="1"/>
    </row>
    <row r="5" spans="1:7" ht="15" customHeight="1" x14ac:dyDescent="0.25">
      <c r="A5" s="1"/>
      <c r="B5" s="99" t="s">
        <v>37</v>
      </c>
      <c r="C5" s="100"/>
      <c r="D5" s="101"/>
      <c r="E5" s="9">
        <v>-574302.05500000017</v>
      </c>
      <c r="F5" s="14" t="s">
        <v>3</v>
      </c>
      <c r="G5" s="1"/>
    </row>
    <row r="6" spans="1:7" ht="15" customHeight="1" x14ac:dyDescent="0.25">
      <c r="A6" s="1"/>
      <c r="B6" s="99" t="s">
        <v>38</v>
      </c>
      <c r="C6" s="100"/>
      <c r="D6" s="101"/>
      <c r="E6" s="9">
        <v>4264039.810878884</v>
      </c>
      <c r="F6" s="14" t="s">
        <v>3</v>
      </c>
      <c r="G6" s="1"/>
    </row>
    <row r="7" spans="1:7" ht="15" customHeight="1" x14ac:dyDescent="0.25">
      <c r="A7" s="1"/>
      <c r="B7" s="107" t="s">
        <v>131</v>
      </c>
      <c r="C7" s="108"/>
      <c r="D7" s="109"/>
      <c r="E7" s="10">
        <f>SUM(E5:E6)</f>
        <v>3689737.7558788839</v>
      </c>
      <c r="F7" s="17" t="s">
        <v>3</v>
      </c>
      <c r="G7" s="1"/>
    </row>
    <row r="8" spans="1:7" ht="15" customHeight="1" x14ac:dyDescent="0.25">
      <c r="A8" s="1"/>
      <c r="B8" s="40"/>
      <c r="C8" s="41"/>
      <c r="D8" s="41"/>
      <c r="E8" s="41"/>
      <c r="F8" s="20"/>
      <c r="G8" s="1"/>
    </row>
    <row r="9" spans="1:7" ht="28.5" customHeight="1" x14ac:dyDescent="0.25">
      <c r="A9" s="1"/>
      <c r="B9" s="87" t="s">
        <v>132</v>
      </c>
      <c r="C9" s="88"/>
      <c r="D9" s="88"/>
      <c r="E9" s="88"/>
      <c r="F9" s="89"/>
      <c r="G9" s="1"/>
    </row>
    <row r="10" spans="1:7" ht="28.5" customHeight="1" x14ac:dyDescent="0.25">
      <c r="A10" s="1"/>
      <c r="B10" s="1"/>
      <c r="C10" s="1"/>
      <c r="D10" s="1"/>
      <c r="E10" s="1"/>
      <c r="F10" s="1"/>
      <c r="G10" s="1"/>
    </row>
    <row r="11" spans="1:7" x14ac:dyDescent="0.25">
      <c r="A11" s="1"/>
      <c r="B11" s="96" t="s">
        <v>116</v>
      </c>
      <c r="C11" s="97"/>
      <c r="D11" s="97"/>
      <c r="E11" s="97"/>
      <c r="F11" s="98"/>
      <c r="G11" s="1"/>
    </row>
    <row r="12" spans="1:7" x14ac:dyDescent="0.25">
      <c r="A12" s="1"/>
      <c r="B12" s="99" t="s">
        <v>117</v>
      </c>
      <c r="C12" s="100"/>
      <c r="D12" s="101"/>
      <c r="E12" s="9">
        <v>25307164.214344267</v>
      </c>
      <c r="F12" s="14" t="s">
        <v>3</v>
      </c>
      <c r="G12" s="1"/>
    </row>
    <row r="13" spans="1:7" x14ac:dyDescent="0.25">
      <c r="A13" s="1"/>
      <c r="B13" s="99" t="s">
        <v>118</v>
      </c>
      <c r="C13" s="100"/>
      <c r="D13" s="101"/>
      <c r="E13" s="9">
        <v>25591756</v>
      </c>
      <c r="F13" s="14" t="s">
        <v>3</v>
      </c>
      <c r="G13" s="1"/>
    </row>
    <row r="14" spans="1:7" x14ac:dyDescent="0.25">
      <c r="A14" s="1"/>
      <c r="B14" s="99" t="s">
        <v>36</v>
      </c>
      <c r="C14" s="100"/>
      <c r="D14" s="101"/>
      <c r="E14" s="9">
        <v>0</v>
      </c>
      <c r="F14" s="14" t="s">
        <v>3</v>
      </c>
      <c r="G14" s="1"/>
    </row>
    <row r="15" spans="1:7" x14ac:dyDescent="0.25">
      <c r="A15" s="1"/>
      <c r="B15" s="107" t="s">
        <v>208</v>
      </c>
      <c r="C15" s="108"/>
      <c r="D15" s="109"/>
      <c r="E15" s="10">
        <f>E12-(E13-E14)</f>
        <v>-284591.7856557332</v>
      </c>
      <c r="F15" s="17" t="s">
        <v>3</v>
      </c>
      <c r="G15" s="1"/>
    </row>
    <row r="16" spans="1:7" x14ac:dyDescent="0.25">
      <c r="A16" s="1"/>
      <c r="B16" s="40"/>
      <c r="C16" s="41"/>
      <c r="D16" s="41"/>
      <c r="E16" s="41"/>
      <c r="F16" s="20"/>
      <c r="G16" s="1"/>
    </row>
    <row r="17" spans="1:7" ht="30" customHeight="1" x14ac:dyDescent="0.25">
      <c r="A17" s="1"/>
      <c r="B17" s="87" t="s">
        <v>133</v>
      </c>
      <c r="C17" s="88"/>
      <c r="D17" s="88"/>
      <c r="E17" s="88"/>
      <c r="F17" s="89"/>
      <c r="G17" s="1"/>
    </row>
    <row r="18" spans="1:7" ht="28.5" customHeight="1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96" t="s">
        <v>50</v>
      </c>
      <c r="C19" s="97"/>
      <c r="D19" s="97"/>
      <c r="E19" s="97"/>
      <c r="F19" s="98"/>
      <c r="G19" s="1"/>
    </row>
    <row r="20" spans="1:7" x14ac:dyDescent="0.25">
      <c r="A20" s="1"/>
      <c r="B20" s="99" t="s">
        <v>51</v>
      </c>
      <c r="C20" s="100"/>
      <c r="D20" s="101"/>
      <c r="E20" s="9">
        <v>24300617.009154461</v>
      </c>
      <c r="F20" s="14" t="s">
        <v>3</v>
      </c>
      <c r="G20" s="1"/>
    </row>
    <row r="21" spans="1:7" x14ac:dyDescent="0.25">
      <c r="A21" s="1"/>
      <c r="B21" s="99" t="s">
        <v>52</v>
      </c>
      <c r="C21" s="100"/>
      <c r="D21" s="101"/>
      <c r="E21" s="9">
        <v>24387595</v>
      </c>
      <c r="F21" s="14" t="s">
        <v>3</v>
      </c>
      <c r="G21" s="1"/>
    </row>
    <row r="22" spans="1:7" x14ac:dyDescent="0.25">
      <c r="A22" s="1"/>
      <c r="B22" s="99" t="s">
        <v>36</v>
      </c>
      <c r="C22" s="100"/>
      <c r="D22" s="101"/>
      <c r="E22" s="9">
        <v>0</v>
      </c>
      <c r="F22" s="14" t="s">
        <v>3</v>
      </c>
      <c r="G22" s="1"/>
    </row>
    <row r="23" spans="1:7" x14ac:dyDescent="0.25">
      <c r="A23" s="1"/>
      <c r="B23" s="107" t="s">
        <v>209</v>
      </c>
      <c r="C23" s="108"/>
      <c r="D23" s="109"/>
      <c r="E23" s="10">
        <f>E20-(E21-E22)</f>
        <v>-86977.990845538676</v>
      </c>
      <c r="F23" s="17" t="s">
        <v>3</v>
      </c>
      <c r="G23" s="1"/>
    </row>
    <row r="24" spans="1:7" x14ac:dyDescent="0.25">
      <c r="A24" s="1"/>
      <c r="B24" s="40"/>
      <c r="C24" s="41"/>
      <c r="D24" s="41"/>
      <c r="E24" s="41"/>
      <c r="F24" s="20"/>
      <c r="G24" s="1"/>
    </row>
    <row r="25" spans="1:7" ht="28.5" customHeight="1" x14ac:dyDescent="0.25">
      <c r="A25" s="1"/>
      <c r="B25" s="87" t="s">
        <v>179</v>
      </c>
      <c r="C25" s="88"/>
      <c r="D25" s="88"/>
      <c r="E25" s="88"/>
      <c r="F25" s="89"/>
      <c r="G25" s="1"/>
    </row>
    <row r="26" spans="1:7" ht="28.5" customHeight="1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96" t="s">
        <v>200</v>
      </c>
      <c r="C27" s="97"/>
      <c r="D27" s="97"/>
      <c r="E27" s="97"/>
      <c r="F27" s="98"/>
      <c r="G27" s="1"/>
    </row>
    <row r="28" spans="1:7" x14ac:dyDescent="0.25">
      <c r="A28" s="1"/>
      <c r="B28" s="99" t="s">
        <v>201</v>
      </c>
      <c r="C28" s="100"/>
      <c r="D28" s="101"/>
      <c r="E28" s="9">
        <v>24705802.361440279</v>
      </c>
      <c r="F28" s="14" t="s">
        <v>3</v>
      </c>
      <c r="G28" s="1"/>
    </row>
    <row r="29" spans="1:7" x14ac:dyDescent="0.25">
      <c r="A29" s="1"/>
      <c r="B29" s="99" t="s">
        <v>202</v>
      </c>
      <c r="C29" s="100"/>
      <c r="D29" s="101"/>
      <c r="E29" s="9">
        <v>24399393</v>
      </c>
      <c r="F29" s="14" t="s">
        <v>3</v>
      </c>
      <c r="G29" s="1"/>
    </row>
    <row r="30" spans="1:7" x14ac:dyDescent="0.25">
      <c r="A30" s="1"/>
      <c r="B30" s="99" t="s">
        <v>36</v>
      </c>
      <c r="C30" s="100"/>
      <c r="D30" s="101"/>
      <c r="E30" s="9">
        <v>0</v>
      </c>
      <c r="F30" s="14" t="s">
        <v>3</v>
      </c>
      <c r="G30" s="1"/>
    </row>
    <row r="31" spans="1:7" x14ac:dyDescent="0.25">
      <c r="A31" s="1"/>
      <c r="B31" s="107" t="s">
        <v>210</v>
      </c>
      <c r="C31" s="108"/>
      <c r="D31" s="109"/>
      <c r="E31" s="10">
        <f>E28-(E29-E30)</f>
        <v>306409.36144027859</v>
      </c>
      <c r="F31" s="17" t="s">
        <v>3</v>
      </c>
      <c r="G31" s="1"/>
    </row>
    <row r="32" spans="1:7" x14ac:dyDescent="0.25">
      <c r="A32" s="1"/>
      <c r="B32" s="40"/>
      <c r="C32" s="41"/>
      <c r="D32" s="41"/>
      <c r="E32" s="41"/>
      <c r="F32" s="20"/>
      <c r="G32" s="1"/>
    </row>
    <row r="33" spans="1:7" ht="28.5" customHeight="1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96" t="s">
        <v>125</v>
      </c>
      <c r="C34" s="97"/>
      <c r="D34" s="97"/>
      <c r="E34" s="97"/>
      <c r="F34" s="98"/>
      <c r="G34" s="1"/>
    </row>
    <row r="35" spans="1:7" x14ac:dyDescent="0.25">
      <c r="A35" s="1"/>
      <c r="B35" s="110" t="s">
        <v>244</v>
      </c>
      <c r="C35" s="111"/>
      <c r="D35" s="112"/>
      <c r="E35" s="9">
        <v>0</v>
      </c>
      <c r="F35" s="14"/>
      <c r="G35" s="1"/>
    </row>
    <row r="36" spans="1:7" x14ac:dyDescent="0.25">
      <c r="A36" s="1"/>
      <c r="B36" s="110" t="s">
        <v>245</v>
      </c>
      <c r="C36" s="111"/>
      <c r="D36" s="112"/>
      <c r="E36" s="9">
        <v>0</v>
      </c>
      <c r="F36" s="14"/>
      <c r="G36" s="1"/>
    </row>
    <row r="37" spans="1:7" x14ac:dyDescent="0.25">
      <c r="A37" s="1"/>
      <c r="B37" s="110" t="s">
        <v>113</v>
      </c>
      <c r="C37" s="111"/>
      <c r="D37" s="112"/>
      <c r="E37" s="9">
        <f>IF(AND(E7&lt;0,E15&gt;0,ABS(E15)&gt;ABS(E7),E23&gt;0,E31&gt;0),0,IF(AND(E7&lt;0,E15&gt;0,ABS(E15)&gt;ABS(E7),E23&lt;0,E31&gt;0,ABS(E7+E15)&gt;ABS(E23)),0,IF(AND(E7&lt;0,E15&gt;0,ABS(E15)&gt;ABS(E7),E23&lt;0,E31&gt;0,ABS(E7+E15)&lt;ABS(E23),ABS(E31)&gt;ABS(E15+E23)),0,IF(AND(E7&lt;0,E15&gt;0,ABS(E15)&gt;ABS(E7),E23&lt;0,E31&gt;0,ABS(E7+E15)&lt;ABS(E23),ABS(E31)&lt;ABS(E7+E15+E23)),(E7+E15+E23),IF(AND(E7&lt;0,E15&gt;0,ABS(E15)&gt;ABS(E7),E23&gt;0,E31&lt;0,ABS(E23)&gt;ABS(E31)),0,IF(AND(E35=0,E36=0,E7&lt;0,E15&gt;0,ABS(E15)&gt;ABS(E7),E23&gt;0,E31&lt;0,ABS(E31)&gt;ABS(E23)),(E23+E31),IF(AND(E35=1,E36=1,E7&lt;0,E15&gt;0,ABS(E15)&gt;ABS(E7),E23&gt;0,E31&lt;0,ABS(E31)&gt;ABS(E7+E15+E23)),(E7+E15+E23+E31),IF(AND(E35=1,E36=1,E7&lt;0,E15&gt;0,ABS(E15)&gt;ABS(E7),E23&gt;0,E31&lt;0,ABS(E31)&lt;ABS(E7+E15+E23)),0,IF(AND(E35=0,E36=0,E7&lt;0,E15&gt;0,ABS(E15)&gt;ABS(E7),E23&lt;0,E31&lt;0,ABS(E7+E15)&gt;ABS(E23)),E31,IF(AND(E35=1,E36=0,E7&lt;0,E15&gt;0,ABS(E15)&gt;ABS(E7),E23&lt;0,E31&lt;0,ABS(E7+E15)&gt;ABS(E23),ABS(E7+E15+E23)&gt;ABS(E31)),0,IF(AND(E35=1,E36=0,E7&lt;0,E15&gt;0,ABS(E15)&gt;ABS(E7),E23&lt;0,E31&lt;0,ABS(E7+E15)&gt;ABS(E23),ABS(E7+E15+E23)&lt;ABS(E31)),(E7+E15+E23+E31),IF(AND(E7&lt;0,E15&gt;0,ABS(E15)&gt;ABS(E7),E23&lt;0,E31&lt;0,ABS(E23)&gt;ABS(E7+E15)),(E7+E15+E23+E31),IF(AND(E7&lt;0,E15&lt;0,E23&lt;0,E31&lt;0),(E23+E31),IF(AND(E7&lt;0,E15&lt;0,E23&lt;0,E31&gt;0),E23,IF(AND(E7&lt;0,E15&lt;0,E23&gt;0,E31&lt;0,ABS(E31)&lt;ABS(E15+E23),ABS(E23)&gt;ABS(E15)),0,IF(AND(E7&lt;0,E15&lt;0,E23&gt;0,E31&lt;0,ABS(E31)&gt;ABS(E15+E23),ABS(E23)&gt;ABS(E15)),(E31+(E15+E23)),IF(AND(E7&lt;0,E15&lt;0,E23&gt;0,E31&lt;0,ABS(E15)&gt;ABS(E23)),E31,IF(AND(E7&lt;0,E15&lt;0,E23&gt;0,E31&gt;0),0,IF(AND(E7&gt;0,E15&gt;0,E23&gt;0,E31&gt;0),0,IF(AND(E7&gt;0,E15&gt;0,E23&lt;0,E31&gt;0,ABS(E15)&gt;ABS(E23)),0,IF(AND(E7&gt;0,E15&gt;0,E23&lt;0,E31&gt;0,ABS(E15)&lt;ABS(E23)),(E15+E23),IF(AND(E7&gt;0,E15&gt;0,E23&gt;0,E31&lt;0,ABS(E23)&gt;ABS(E31)),0,IF(AND(E35=0,E36=0,E7&gt;0,E15&gt;0,E23&gt;0,E31&lt;0,ABS(E31)&gt;ABS(E23)),(E23+E31),IF(AND(E35=1,E36=1,E7&gt;0,E15&gt;0,E23&gt;0,E31&lt;0,ABS(E31)&gt;ABS(E15+E23)),(E15+E23+E31),IF(AND(E35=1,E36=1,E7&gt;0,E15&gt;0,E23&gt;0,E31&lt;0,ABS(E31)&lt;ABS(E15+E23)),0,IF(AND(E35=0,E36=0,E7&gt;0,E15&gt;0,E23&lt;0,E31&lt;0,ABS(E15)&gt;ABS(E23)),E31,IF(AND(E35=1,E36=0,E7&gt;0,E15&gt;0,E23&lt;0,E31&lt;0,ABS(E15)&gt;ABS(E23),ABS(E15+E23)&gt;ABS(E31)),0,IF(AND(E35=1,E36=0,E7&gt;0,E15&gt;0,E23&lt;0,E31&lt;0,ABS(E15)&gt;ABS(E23),ABS(E15+E23)&lt;ABS(E31)),(E15+E23+E31),IF(AND(E7&gt;0,E15&gt;0,E23&lt;0,E31&lt;0,ABS(E23)&gt;ABS(E15)),(E15+E23+E31),IF(AND(E7&gt;0,E15&lt;0,ABS(E15)&gt;ABS(E7),E23&lt;0,E31&lt;0),(E23+E31),IF(AND(E7&gt;0,E15&lt;0,ABS(E15)&gt;ABS(E7),E23&lt;0,E31&gt;0),E23,IF(AND(E7&gt;0,E15&lt;0,ABS(E15)&gt;ABS(E7),E23&gt;0,E31&lt;0,ABS(E23)&gt;ABS(E7+E15),ABS(E31)&lt;ABS(E7+E15+E23)),0,IF(AND(E7&gt;0,E15&lt;0,ABS(E15)&gt;ABS(E7),E23&gt;0,E31&lt;0,ABS(E23)&gt;ABS(E7+E15),ABS(E31)&gt;ABS(E7+E15+E23)),(E31+(E7+E15+E23)),IF(AND(E7&gt;0,E15&lt;0,ABS(E15)&gt;ABS(E7),E23&gt;0,E31&lt;0,ABS(E7+E15)&gt;ABS(E23)),E31,IF(AND(E7&gt;0,E15&lt;0,ABS(E15)&gt;ABS(E7),E23&gt;0,E31&gt;0),0,IF(AND(E7&gt;0,E15&lt;0,ABS(E7)&gt;ABS(E15),E23&lt;0,E31&gt;0),E23,IF(AND(E7&gt;0,E15&lt;0,ABS(E7)&gt;ABS(E15),E23&gt;0,E31&gt;0),0,IF(AND(E7&gt;0,E15&lt;0,ABS(E7)&gt;ABS(E15),E23&lt;0,E31&lt;0),(E23+E31),IF(AND(E7&gt;0,E15&lt;0,ABS(E7)&gt;ABS(E15),E23&gt;0,E31&lt;0,ABS(E23)&gt;ABS(E31)),0,IF(AND(E7&gt;0,E15&lt;0,ABS(E7)&gt;ABS(E15),E23&gt;0,E31&lt;0,ABS(E23)&lt;ABS(E31)),(E23+E31),IF(AND(E7&lt;0,E15&gt;0,ABS(E7)&gt;ABS(E15),E23&lt;0,E31&gt;0),E23,IF(AND(E7&lt;0,E15&gt;0,ABS(E7)&gt;ABS(E15),E23&gt;0,E31&gt;0),0,IF(AND(E7&lt;0,E15&gt;0,ABS(E7)&gt;ABS(E15),E23&lt;0,E31&lt;0),(E23+E31),IF(AND(E7&lt;0,E15&gt;0,ABS(E7)&gt;ABS(E15),E23&gt;0,E31&lt;0,ABS(E23)&gt;ABS(E31)),0,IF(AND(E7&lt;0,E15&gt;0,ABS(E7)&gt;ABS(E15),E23&gt;0,E31&lt;0,ABS(E23)&lt;ABS(E31)),(E23+E31),FALSE)))))))))))))))))))))))))))))))))))))))))))))</f>
        <v>-86977.990845538676</v>
      </c>
      <c r="F37" s="14" t="s">
        <v>3</v>
      </c>
      <c r="G37" s="1"/>
    </row>
    <row r="38" spans="1:7" x14ac:dyDescent="0.25">
      <c r="A38" s="1"/>
      <c r="B38" s="110" t="s">
        <v>130</v>
      </c>
      <c r="C38" s="111"/>
      <c r="D38" s="112"/>
      <c r="E38" s="9">
        <v>2</v>
      </c>
      <c r="F38" s="14" t="s">
        <v>19</v>
      </c>
      <c r="G38" s="1"/>
    </row>
    <row r="39" spans="1:7" ht="15" customHeight="1" x14ac:dyDescent="0.25">
      <c r="A39" s="1"/>
      <c r="B39" s="113" t="s">
        <v>203</v>
      </c>
      <c r="C39" s="113"/>
      <c r="D39" s="113"/>
      <c r="E39" s="10">
        <f>E37/E38</f>
        <v>-43488.995422769338</v>
      </c>
      <c r="F39" s="17" t="s">
        <v>3</v>
      </c>
      <c r="G39" s="1"/>
    </row>
    <row r="40" spans="1:7" x14ac:dyDescent="0.25">
      <c r="A40" s="1"/>
      <c r="B40" s="96"/>
      <c r="C40" s="97"/>
      <c r="D40" s="97"/>
      <c r="E40" s="97"/>
      <c r="F40" s="98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4" spans="1:7" x14ac:dyDescent="0.25">
      <c r="A44" s="37"/>
      <c r="B44" s="37"/>
      <c r="C44" s="37"/>
      <c r="D44" s="37"/>
      <c r="E44" s="37"/>
      <c r="F44" s="37"/>
      <c r="G44" s="37"/>
    </row>
    <row r="45" spans="1:7" x14ac:dyDescent="0.25">
      <c r="A45" s="37"/>
      <c r="B45" s="37"/>
      <c r="C45" s="37"/>
      <c r="D45" s="37"/>
      <c r="E45" s="37"/>
      <c r="F45" s="37"/>
      <c r="G45" s="37"/>
    </row>
    <row r="46" spans="1:7" x14ac:dyDescent="0.25">
      <c r="A46" s="37"/>
      <c r="B46" s="37"/>
      <c r="C46" s="37"/>
      <c r="D46" s="37"/>
      <c r="E46" s="37"/>
      <c r="F46" s="37"/>
      <c r="G46" s="37"/>
    </row>
    <row r="47" spans="1:7" x14ac:dyDescent="0.25">
      <c r="A47" s="37"/>
      <c r="B47" s="37"/>
      <c r="C47" s="37"/>
      <c r="D47" s="37"/>
      <c r="E47" s="37"/>
      <c r="F47" s="37"/>
      <c r="G47" s="37"/>
    </row>
  </sheetData>
  <sheetProtection algorithmName="SHA-512" hashValue="XlNvjN8Z5Z5nq2KPrZ4sa5Ppk7gxwGXEM9or00sk80s+3iC58ZOqHxNMUPgaUdnf4GBvyuN4vTFmZBcgPSyNXQ==" saltValue="46Iw5BQO9hdCLZuoz8+0IQ==" spinCount="100000" sheet="1" objects="1" scenarios="1"/>
  <mergeCells count="30">
    <mergeCell ref="B2:F3"/>
    <mergeCell ref="B19:F19"/>
    <mergeCell ref="B20:D20"/>
    <mergeCell ref="B21:D21"/>
    <mergeCell ref="B22:D22"/>
    <mergeCell ref="B14:D14"/>
    <mergeCell ref="B15:D15"/>
    <mergeCell ref="B4:F4"/>
    <mergeCell ref="B5:D5"/>
    <mergeCell ref="B6:D6"/>
    <mergeCell ref="B7:D7"/>
    <mergeCell ref="B11:F11"/>
    <mergeCell ref="B12:D12"/>
    <mergeCell ref="B13:D13"/>
    <mergeCell ref="B9:F9"/>
    <mergeCell ref="B17:F17"/>
    <mergeCell ref="B40:F40"/>
    <mergeCell ref="B23:D23"/>
    <mergeCell ref="B34:F34"/>
    <mergeCell ref="B37:D37"/>
    <mergeCell ref="B38:D38"/>
    <mergeCell ref="B39:D39"/>
    <mergeCell ref="B27:F27"/>
    <mergeCell ref="B28:D28"/>
    <mergeCell ref="B29:D29"/>
    <mergeCell ref="B30:D30"/>
    <mergeCell ref="B31:D31"/>
    <mergeCell ref="B25:F25"/>
    <mergeCell ref="B35:D35"/>
    <mergeCell ref="B36:D36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216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197</v>
      </c>
      <c r="C8" s="97"/>
      <c r="D8" s="97"/>
      <c r="E8" s="97"/>
      <c r="F8" s="97"/>
      <c r="G8" s="97"/>
      <c r="H8" s="98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10</v>
      </c>
      <c r="E9" s="11" t="s">
        <v>2</v>
      </c>
      <c r="F9" s="11" t="s">
        <v>11</v>
      </c>
      <c r="G9" s="11" t="s">
        <v>33</v>
      </c>
      <c r="H9" s="43"/>
      <c r="I9" s="1"/>
    </row>
    <row r="10" spans="1:9" x14ac:dyDescent="0.25">
      <c r="A10" s="1"/>
      <c r="B10" s="51" t="s">
        <v>243</v>
      </c>
      <c r="C10" s="52"/>
      <c r="D10" s="9"/>
      <c r="E10" s="9">
        <f>IFERROR(D10/C10,0)</f>
        <v>0</v>
      </c>
      <c r="F10" s="9"/>
      <c r="G10" s="9"/>
      <c r="H10" s="14" t="s">
        <v>3</v>
      </c>
      <c r="I10" s="1"/>
    </row>
    <row r="11" spans="1:9" x14ac:dyDescent="0.25">
      <c r="A11" s="1"/>
      <c r="B11" s="96" t="s">
        <v>198</v>
      </c>
      <c r="C11" s="97"/>
      <c r="D11" s="98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9+HgdDxfq9hTeM94HLM2okDQ8H7v2EPAIfR9M4SAc3pF3W9SCTtn8u8Qq7ELIvpgb+xwwcoeqR0K6q1z0ki3UA==" saltValue="lmo+YNnu3wkxKT2mOIioBw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215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94</v>
      </c>
      <c r="C8" s="41"/>
      <c r="D8" s="41"/>
      <c r="E8" s="41"/>
      <c r="F8" s="20"/>
      <c r="G8" s="1"/>
    </row>
    <row r="9" spans="1:7" ht="17.25" customHeight="1" x14ac:dyDescent="0.25">
      <c r="A9" s="1"/>
      <c r="B9" s="46" t="s">
        <v>16</v>
      </c>
      <c r="C9" s="46" t="s">
        <v>11</v>
      </c>
      <c r="D9" s="47"/>
      <c r="E9" s="46" t="s">
        <v>34</v>
      </c>
      <c r="F9" s="43"/>
      <c r="G9" s="1"/>
    </row>
    <row r="10" spans="1:7" x14ac:dyDescent="0.25">
      <c r="A10" s="1"/>
      <c r="B10" s="25" t="s">
        <v>44</v>
      </c>
      <c r="C10" s="22">
        <f>'Fane 8. Anlægsprojekter'!F11</f>
        <v>0</v>
      </c>
      <c r="D10" s="14" t="s">
        <v>3</v>
      </c>
      <c r="E10" s="9">
        <f>SUM('Fane 8. Anlægsprojekter'!E11,'Fane 8. Anlægsprojekter'!G11)</f>
        <v>0</v>
      </c>
      <c r="F10" s="14" t="s">
        <v>3</v>
      </c>
      <c r="G10" s="1"/>
    </row>
    <row r="11" spans="1:7" x14ac:dyDescent="0.25">
      <c r="A11" s="1"/>
      <c r="B11" s="53" t="s">
        <v>240</v>
      </c>
      <c r="C11" s="22">
        <v>4688</v>
      </c>
      <c r="D11" s="14" t="s">
        <v>3</v>
      </c>
      <c r="E11" s="9">
        <v>1824</v>
      </c>
      <c r="F11" s="14" t="s">
        <v>3</v>
      </c>
      <c r="G11" s="1"/>
    </row>
    <row r="12" spans="1:7" x14ac:dyDescent="0.25">
      <c r="A12" s="1"/>
      <c r="B12" s="40" t="s">
        <v>48</v>
      </c>
      <c r="C12" s="12">
        <f>SUM(C10:C11)</f>
        <v>4688</v>
      </c>
      <c r="D12" s="13" t="s">
        <v>3</v>
      </c>
      <c r="E12" s="12">
        <f>SUM(E10:E11)</f>
        <v>1824</v>
      </c>
      <c r="F12" s="13" t="s">
        <v>3</v>
      </c>
      <c r="G12" s="1"/>
    </row>
    <row r="13" spans="1:7" x14ac:dyDescent="0.25">
      <c r="A13" s="1"/>
      <c r="B13" s="40" t="s">
        <v>173</v>
      </c>
      <c r="C13" s="12">
        <f>C12*(1+'Fane 12. Nøgletal'!C13)</f>
        <v>4745.1935999999996</v>
      </c>
      <c r="D13" s="13" t="s">
        <v>3</v>
      </c>
      <c r="E13" s="12">
        <f>E12*(1+'Fane 12. Nøgletal'!C13)</f>
        <v>1846.2528</v>
      </c>
      <c r="F13" s="13" t="s">
        <v>3</v>
      </c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KHZf1bjcEHm7waJSFj9TDzWSwW45HkLhWx1wT/tq0Ilsbp0G29ygOyMEv2I5Auh1/bearEHOuS1lyvbwpdNWMQ==" saltValue="btPU4V8r/DouwFnvDQuDy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3" t="s">
        <v>214</v>
      </c>
      <c r="C3" s="73"/>
      <c r="D3" s="73"/>
      <c r="E3" s="73"/>
      <c r="F3" s="73"/>
      <c r="G3" s="1"/>
    </row>
    <row r="4" spans="1:7" ht="15" customHeight="1" x14ac:dyDescent="0.25">
      <c r="A4" s="1"/>
      <c r="B4" s="73"/>
      <c r="C4" s="73"/>
      <c r="D4" s="73"/>
      <c r="E4" s="73"/>
      <c r="F4" s="7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119</v>
      </c>
      <c r="C8" s="97"/>
      <c r="D8" s="97"/>
      <c r="E8" s="97"/>
      <c r="F8" s="98"/>
      <c r="G8" s="1"/>
    </row>
    <row r="9" spans="1:7" x14ac:dyDescent="0.25">
      <c r="A9" s="1"/>
      <c r="B9" s="46" t="s">
        <v>16</v>
      </c>
      <c r="C9" s="46" t="s">
        <v>11</v>
      </c>
      <c r="D9" s="47"/>
      <c r="E9" s="46" t="s">
        <v>34</v>
      </c>
      <c r="F9" s="43"/>
      <c r="G9" s="1"/>
    </row>
    <row r="10" spans="1:7" x14ac:dyDescent="0.25">
      <c r="A10" s="1"/>
      <c r="B10" s="25" t="s">
        <v>241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174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27" t="s">
        <v>9</v>
      </c>
      <c r="C12" s="28">
        <f>-C11*'Fane 5. Individuelt eff. krav'!G10</f>
        <v>0</v>
      </c>
      <c r="D12" s="29" t="s">
        <v>3</v>
      </c>
      <c r="E12" s="28">
        <f>-E11*'Fane 5. Individuelt eff. krav'!G10</f>
        <v>0</v>
      </c>
      <c r="F12" s="29" t="s">
        <v>3</v>
      </c>
      <c r="G12" s="1"/>
    </row>
    <row r="13" spans="1:7" x14ac:dyDescent="0.25">
      <c r="A13" s="1"/>
      <c r="B13" s="27" t="s">
        <v>123</v>
      </c>
      <c r="C13" s="28">
        <f>-C11*'Fane 12. Nøgletal'!C27</f>
        <v>0</v>
      </c>
      <c r="D13" s="29" t="s">
        <v>3</v>
      </c>
      <c r="E13" s="28">
        <f>-E11*'Fane 12. Nøgletal'!C22</f>
        <v>0</v>
      </c>
      <c r="F13" s="29" t="s">
        <v>3</v>
      </c>
      <c r="G13" s="1"/>
    </row>
    <row r="14" spans="1:7" x14ac:dyDescent="0.25">
      <c r="A14" s="1"/>
      <c r="B14" s="40" t="s">
        <v>122</v>
      </c>
      <c r="C14" s="12">
        <f>SUM(C11:C13)*(1+'Fane 12. Nøgletal'!C13)^2</f>
        <v>0</v>
      </c>
      <c r="D14" s="13" t="s">
        <v>3</v>
      </c>
      <c r="E14" s="12">
        <f>SUM(E11:E13)*(1+'Fane 12. Nøgletal'!C13)^2</f>
        <v>0</v>
      </c>
      <c r="F14" s="13" t="s">
        <v>3</v>
      </c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6" t="s">
        <v>120</v>
      </c>
      <c r="C16" s="97"/>
      <c r="D16" s="97"/>
      <c r="E16" s="97"/>
      <c r="F16" s="98"/>
      <c r="G16" s="1"/>
    </row>
    <row r="17" spans="1:7" x14ac:dyDescent="0.25">
      <c r="A17" s="1"/>
      <c r="B17" s="46" t="s">
        <v>16</v>
      </c>
      <c r="C17" s="46" t="s">
        <v>11</v>
      </c>
      <c r="D17" s="47"/>
      <c r="E17" s="46" t="s">
        <v>34</v>
      </c>
      <c r="F17" s="43"/>
      <c r="G17" s="1"/>
    </row>
    <row r="18" spans="1:7" x14ac:dyDescent="0.25">
      <c r="A18" s="1"/>
      <c r="B18" s="25" t="s">
        <v>241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25">
      <c r="A19" s="1"/>
      <c r="B19" s="40" t="s">
        <v>174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25">
      <c r="A20" s="1"/>
      <c r="B20" s="27" t="s">
        <v>9</v>
      </c>
      <c r="C20" s="28">
        <f>-C19*'Fane 5. Individuelt eff. krav'!G10</f>
        <v>0</v>
      </c>
      <c r="D20" s="29" t="s">
        <v>3</v>
      </c>
      <c r="E20" s="28">
        <f>-E19*'Fane 5. Individuelt eff. krav'!G10</f>
        <v>0</v>
      </c>
      <c r="F20" s="29" t="s">
        <v>3</v>
      </c>
      <c r="G20" s="1"/>
    </row>
    <row r="21" spans="1:7" x14ac:dyDescent="0.25">
      <c r="A21" s="1"/>
      <c r="B21" s="27" t="s">
        <v>123</v>
      </c>
      <c r="C21" s="28">
        <f>-C19*'Fane 12. Nøgletal'!C27</f>
        <v>0</v>
      </c>
      <c r="D21" s="29" t="s">
        <v>3</v>
      </c>
      <c r="E21" s="28">
        <f>-E19*'Fane 12. Nøgletal'!C22</f>
        <v>0</v>
      </c>
      <c r="F21" s="29" t="s">
        <v>3</v>
      </c>
      <c r="G21" s="1"/>
    </row>
    <row r="22" spans="1:7" x14ac:dyDescent="0.25">
      <c r="A22" s="1"/>
      <c r="B22" s="40" t="s">
        <v>175</v>
      </c>
      <c r="C22" s="12">
        <f>SUM(C19:C21)*(1+'Fane 12. Nøgletal'!C13)^3</f>
        <v>0</v>
      </c>
      <c r="D22" s="13" t="s">
        <v>3</v>
      </c>
      <c r="E22" s="12">
        <f>SUM(E19:E21)*(1+'Fane 12. Nøgletal'!C13)^3</f>
        <v>0</v>
      </c>
      <c r="F22" s="13" t="s">
        <v>3</v>
      </c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6" t="s">
        <v>121</v>
      </c>
      <c r="C24" s="97"/>
      <c r="D24" s="97"/>
      <c r="E24" s="97"/>
      <c r="F24" s="98"/>
      <c r="G24" s="1"/>
    </row>
    <row r="25" spans="1:7" x14ac:dyDescent="0.25">
      <c r="A25" s="1"/>
      <c r="B25" s="46" t="s">
        <v>16</v>
      </c>
      <c r="C25" s="46" t="s">
        <v>11</v>
      </c>
      <c r="D25" s="47"/>
      <c r="E25" s="46" t="s">
        <v>34</v>
      </c>
      <c r="F25" s="43"/>
      <c r="G25" s="1"/>
    </row>
    <row r="26" spans="1:7" x14ac:dyDescent="0.25">
      <c r="A26" s="1"/>
      <c r="B26" s="25" t="s">
        <v>241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25">
      <c r="A27" s="1"/>
      <c r="B27" s="40" t="s">
        <v>174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25">
      <c r="A28" s="1"/>
      <c r="B28" s="27" t="s">
        <v>9</v>
      </c>
      <c r="C28" s="28">
        <f>-C27*'Fane 5. Individuelt eff. krav'!G10</f>
        <v>0</v>
      </c>
      <c r="D28" s="29" t="s">
        <v>3</v>
      </c>
      <c r="E28" s="28">
        <f>-E27*'Fane 5. Individuelt eff. krav'!G10</f>
        <v>0</v>
      </c>
      <c r="F28" s="29" t="s">
        <v>3</v>
      </c>
      <c r="G28" s="1"/>
    </row>
    <row r="29" spans="1:7" x14ac:dyDescent="0.25">
      <c r="A29" s="1"/>
      <c r="B29" s="27" t="s">
        <v>123</v>
      </c>
      <c r="C29" s="28">
        <f>-C27*'Fane 12. Nøgletal'!C27</f>
        <v>0</v>
      </c>
      <c r="D29" s="29" t="s">
        <v>3</v>
      </c>
      <c r="E29" s="28">
        <f>-E27*'Fane 12. Nøgletal'!C22</f>
        <v>0</v>
      </c>
      <c r="F29" s="29" t="s">
        <v>3</v>
      </c>
      <c r="G29" s="1"/>
    </row>
    <row r="30" spans="1:7" x14ac:dyDescent="0.25">
      <c r="A30" s="1"/>
      <c r="B30" s="40" t="s">
        <v>184</v>
      </c>
      <c r="C30" s="12">
        <f>SUM(C27:C29)*(1+'Fane 12. Nøgletal'!C13)^4</f>
        <v>0</v>
      </c>
      <c r="D30" s="13" t="s">
        <v>3</v>
      </c>
      <c r="E30" s="12">
        <f>SUM(E27:E29)*(1+'Fane 12.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96" t="s">
        <v>176</v>
      </c>
      <c r="C32" s="97"/>
      <c r="D32" s="97"/>
      <c r="E32" s="97"/>
      <c r="F32" s="98"/>
      <c r="G32" s="1"/>
    </row>
    <row r="33" spans="1:7" x14ac:dyDescent="0.25">
      <c r="A33" s="1"/>
      <c r="B33" s="46" t="s">
        <v>16</v>
      </c>
      <c r="C33" s="46" t="s">
        <v>11</v>
      </c>
      <c r="D33" s="47"/>
      <c r="E33" s="46" t="s">
        <v>34</v>
      </c>
      <c r="F33" s="43"/>
      <c r="G33" s="1"/>
    </row>
    <row r="34" spans="1:7" x14ac:dyDescent="0.25">
      <c r="A34" s="1"/>
      <c r="B34" s="25" t="s">
        <v>241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25">
      <c r="A35" s="1"/>
      <c r="B35" s="40" t="s">
        <v>174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25">
      <c r="A36" s="1"/>
      <c r="B36" s="27" t="s">
        <v>9</v>
      </c>
      <c r="C36" s="28">
        <f>-C35*'Fane 5. Individuelt eff. krav'!G10</f>
        <v>0</v>
      </c>
      <c r="D36" s="29" t="s">
        <v>3</v>
      </c>
      <c r="E36" s="28">
        <f>-E35*'Fane 5. Individuelt eff. krav'!G10</f>
        <v>0</v>
      </c>
      <c r="F36" s="29" t="s">
        <v>3</v>
      </c>
      <c r="G36" s="1"/>
    </row>
    <row r="37" spans="1:7" x14ac:dyDescent="0.25">
      <c r="A37" s="1"/>
      <c r="B37" s="27" t="s">
        <v>123</v>
      </c>
      <c r="C37" s="28">
        <f>-C35*'Fane 12. Nøgletal'!C27</f>
        <v>0</v>
      </c>
      <c r="D37" s="29" t="s">
        <v>3</v>
      </c>
      <c r="E37" s="28">
        <f>-E35*'Fane 12. Nøgletal'!C22</f>
        <v>0</v>
      </c>
      <c r="F37" s="29" t="s">
        <v>3</v>
      </c>
      <c r="G37" s="1"/>
    </row>
    <row r="38" spans="1:7" x14ac:dyDescent="0.25">
      <c r="A38" s="1"/>
      <c r="B38" s="40" t="s">
        <v>185</v>
      </c>
      <c r="C38" s="12">
        <f>SUM(C35:C37)*(1+'Fane 12. Nøgletal'!C13)^5</f>
        <v>0</v>
      </c>
      <c r="D38" s="13" t="s">
        <v>3</v>
      </c>
      <c r="E38" s="12">
        <f>SUM(E35:E37)*(1+'Fane 12. Nøgletal'!C13)^5</f>
        <v>0</v>
      </c>
      <c r="F38" s="13" t="s">
        <v>3</v>
      </c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</sheetData>
  <sheetProtection algorithmName="SHA-512" hashValue="SbDwL8pXkaO1jpCOZYmPESYryk5D4iWcpirn6OylnwUSWGvr7+S+5t/iZ7qlBk4SqSk58sbnqVYHF/0/F5HaeQ==" saltValue="3jNw8feGEQrhx+ZXsb2GNQ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41.140625" style="2" bestFit="1" customWidth="1"/>
    <col min="3" max="3" width="13.85546875" style="2" customWidth="1"/>
    <col min="4" max="4" width="3.28515625" style="2" customWidth="1"/>
    <col min="5" max="5" width="14.57031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213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156</v>
      </c>
      <c r="C8" s="97"/>
      <c r="D8" s="97"/>
      <c r="E8" s="97"/>
      <c r="F8" s="98"/>
      <c r="G8" s="1"/>
    </row>
    <row r="9" spans="1:7" ht="15" customHeight="1" x14ac:dyDescent="0.25">
      <c r="A9" s="1"/>
      <c r="B9" s="42" t="s">
        <v>157</v>
      </c>
      <c r="C9" s="93" t="s">
        <v>11</v>
      </c>
      <c r="D9" s="95"/>
      <c r="E9" s="93" t="s">
        <v>34</v>
      </c>
      <c r="F9" s="95"/>
      <c r="G9" s="1"/>
    </row>
    <row r="10" spans="1:7" x14ac:dyDescent="0.25">
      <c r="A10" s="1"/>
      <c r="B10" s="25" t="s">
        <v>238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158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177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+TSy88rWmjmSlkf0OQ/VY2QfjZDMgNf9kNvxYmEScRsHVxS0Rq6ipbDUU9COeEx90Bu7Or4hlUVYYknSwZ3JEQ==" saltValue="QH7QAypP4iuSP3KNR9Wjjw==" spinCount="100000" sheet="1" objects="1" scenarios="1"/>
  <mergeCells count="4">
    <mergeCell ref="B3:F4"/>
    <mergeCell ref="B8:F8"/>
    <mergeCell ref="C9:D9"/>
    <mergeCell ref="E9:F9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212</v>
      </c>
      <c r="C3" s="83"/>
      <c r="D3" s="83"/>
      <c r="E3" s="83"/>
      <c r="F3" s="83"/>
      <c r="G3" s="1"/>
    </row>
    <row r="4" spans="1:7" ht="25.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6" t="s">
        <v>111</v>
      </c>
      <c r="C8" s="97"/>
      <c r="D8" s="97"/>
      <c r="E8" s="97"/>
      <c r="F8" s="98"/>
      <c r="G8" s="1"/>
    </row>
    <row r="9" spans="1:7" ht="15" customHeight="1" x14ac:dyDescent="0.25">
      <c r="A9" s="1"/>
      <c r="B9" s="42" t="s">
        <v>17</v>
      </c>
      <c r="C9" s="42" t="s">
        <v>11</v>
      </c>
      <c r="D9" s="43"/>
      <c r="E9" s="42" t="s">
        <v>34</v>
      </c>
      <c r="F9" s="43"/>
      <c r="G9" s="1"/>
    </row>
    <row r="10" spans="1:7" x14ac:dyDescent="0.25">
      <c r="A10" s="1"/>
      <c r="B10" s="25" t="s">
        <v>239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40" t="s">
        <v>49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40" t="s">
        <v>104</v>
      </c>
      <c r="C12" s="12">
        <f>C11*(1+'Fane 12. Nøgletal'!C13)</f>
        <v>0</v>
      </c>
      <c r="D12" s="13" t="s">
        <v>3</v>
      </c>
      <c r="E12" s="12">
        <f>E11*(1+'Fane 12.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96" t="s">
        <v>110</v>
      </c>
      <c r="C15" s="97"/>
      <c r="D15" s="97"/>
      <c r="E15" s="97"/>
      <c r="F15" s="98"/>
      <c r="G15" s="1"/>
    </row>
    <row r="16" spans="1:7" ht="26.25" x14ac:dyDescent="0.25">
      <c r="A16" s="1"/>
      <c r="B16" s="42" t="s">
        <v>17</v>
      </c>
      <c r="C16" s="42" t="s">
        <v>11</v>
      </c>
      <c r="D16" s="43"/>
      <c r="E16" s="42" t="s">
        <v>34</v>
      </c>
      <c r="F16" s="43"/>
      <c r="G16" s="1"/>
    </row>
    <row r="17" spans="1:7" x14ac:dyDescent="0.25">
      <c r="A17" s="1"/>
      <c r="B17" s="25" t="s">
        <v>239</v>
      </c>
      <c r="C17" s="9">
        <v>0</v>
      </c>
      <c r="D17" s="14" t="s">
        <v>3</v>
      </c>
      <c r="E17" s="9">
        <v>0</v>
      </c>
      <c r="F17" s="14" t="s">
        <v>3</v>
      </c>
      <c r="G17" s="1"/>
    </row>
    <row r="18" spans="1:7" x14ac:dyDescent="0.25">
      <c r="A18" s="1"/>
      <c r="B18" s="40" t="s">
        <v>49</v>
      </c>
      <c r="C18" s="12">
        <f>SUM(C17:C17)</f>
        <v>0</v>
      </c>
      <c r="D18" s="13" t="s">
        <v>3</v>
      </c>
      <c r="E18" s="12">
        <f>SUM(E17:E17)</f>
        <v>0</v>
      </c>
      <c r="F18" s="13" t="s">
        <v>3</v>
      </c>
      <c r="G18" s="1"/>
    </row>
    <row r="19" spans="1:7" x14ac:dyDescent="0.25">
      <c r="A19" s="1"/>
      <c r="B19" s="40" t="s">
        <v>105</v>
      </c>
      <c r="C19" s="12">
        <f>C18*(1+'Fane 12. Nøgletal'!C13)^2</f>
        <v>0</v>
      </c>
      <c r="D19" s="13" t="s">
        <v>3</v>
      </c>
      <c r="E19" s="12">
        <f>E18*(1+'Fane 12. Nøgletal'!C13)^2</f>
        <v>0</v>
      </c>
      <c r="F19" s="13" t="s">
        <v>3</v>
      </c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96" t="s">
        <v>112</v>
      </c>
      <c r="C22" s="97"/>
      <c r="D22" s="97"/>
      <c r="E22" s="97"/>
      <c r="F22" s="98"/>
      <c r="G22" s="1"/>
    </row>
    <row r="23" spans="1:7" ht="26.25" x14ac:dyDescent="0.25">
      <c r="A23" s="1"/>
      <c r="B23" s="42" t="s">
        <v>17</v>
      </c>
      <c r="C23" s="42" t="s">
        <v>11</v>
      </c>
      <c r="D23" s="43"/>
      <c r="E23" s="42" t="s">
        <v>34</v>
      </c>
      <c r="F23" s="43"/>
      <c r="G23" s="1"/>
    </row>
    <row r="24" spans="1:7" x14ac:dyDescent="0.25">
      <c r="A24" s="1"/>
      <c r="B24" s="25" t="s">
        <v>239</v>
      </c>
      <c r="C24" s="9">
        <v>0</v>
      </c>
      <c r="D24" s="14" t="s">
        <v>3</v>
      </c>
      <c r="E24" s="9">
        <v>0</v>
      </c>
      <c r="F24" s="14" t="s">
        <v>3</v>
      </c>
      <c r="G24" s="1"/>
    </row>
    <row r="25" spans="1:7" x14ac:dyDescent="0.25">
      <c r="A25" s="1"/>
      <c r="B25" s="40" t="s">
        <v>49</v>
      </c>
      <c r="C25" s="12">
        <f>SUM(C24:C24)</f>
        <v>0</v>
      </c>
      <c r="D25" s="13" t="s">
        <v>3</v>
      </c>
      <c r="E25" s="12">
        <f>SUM(E24:E24)</f>
        <v>0</v>
      </c>
      <c r="F25" s="13" t="s">
        <v>3</v>
      </c>
      <c r="G25" s="1"/>
    </row>
    <row r="26" spans="1:7" x14ac:dyDescent="0.25">
      <c r="A26" s="1"/>
      <c r="B26" s="40" t="s">
        <v>106</v>
      </c>
      <c r="C26" s="12">
        <f>C25*(1+'Fane 12. Nøgletal'!C13)^3</f>
        <v>0</v>
      </c>
      <c r="D26" s="13" t="s">
        <v>3</v>
      </c>
      <c r="E26" s="12">
        <f>E25*(1+'Fane 12. Nøgletal'!C13)^3</f>
        <v>0</v>
      </c>
      <c r="F26" s="13" t="s">
        <v>3</v>
      </c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96" t="s">
        <v>182</v>
      </c>
      <c r="C29" s="97"/>
      <c r="D29" s="97"/>
      <c r="E29" s="97"/>
      <c r="F29" s="98"/>
      <c r="G29" s="1"/>
    </row>
    <row r="30" spans="1:7" ht="26.25" x14ac:dyDescent="0.25">
      <c r="A30" s="1"/>
      <c r="B30" s="42" t="s">
        <v>17</v>
      </c>
      <c r="C30" s="42" t="s">
        <v>11</v>
      </c>
      <c r="D30" s="43"/>
      <c r="E30" s="42" t="s">
        <v>34</v>
      </c>
      <c r="F30" s="43"/>
      <c r="G30" s="1"/>
    </row>
    <row r="31" spans="1:7" x14ac:dyDescent="0.25">
      <c r="A31" s="1"/>
      <c r="B31" s="25" t="s">
        <v>239</v>
      </c>
      <c r="C31" s="9">
        <v>0</v>
      </c>
      <c r="D31" s="14" t="s">
        <v>3</v>
      </c>
      <c r="E31" s="9">
        <v>0</v>
      </c>
      <c r="F31" s="14" t="s">
        <v>3</v>
      </c>
      <c r="G31" s="1"/>
    </row>
    <row r="32" spans="1:7" x14ac:dyDescent="0.25">
      <c r="A32" s="1"/>
      <c r="B32" s="40" t="s">
        <v>49</v>
      </c>
      <c r="C32" s="12">
        <f>SUM(C31:C31)</f>
        <v>0</v>
      </c>
      <c r="D32" s="13" t="s">
        <v>3</v>
      </c>
      <c r="E32" s="12">
        <f>SUM(E31:E31)</f>
        <v>0</v>
      </c>
      <c r="F32" s="13" t="s">
        <v>3</v>
      </c>
      <c r="G32" s="1"/>
    </row>
    <row r="33" spans="1:7" x14ac:dyDescent="0.25">
      <c r="A33" s="1"/>
      <c r="B33" s="40" t="s">
        <v>183</v>
      </c>
      <c r="C33" s="12">
        <f>C32*(1+'Fane 12. Nøgletal'!C13)^4</f>
        <v>0</v>
      </c>
      <c r="D33" s="13" t="s">
        <v>3</v>
      </c>
      <c r="E33" s="12">
        <f>E32*(1+'Fane 12. Nøgletal'!C13)^4</f>
        <v>0</v>
      </c>
      <c r="F33" s="13" t="s">
        <v>3</v>
      </c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0eGteLtwax+q7Rws63pcaGq+j3w6EH8ck4SVLDLS9cLOPHfkK75ze+SQFWWDwizG79+szh+YmanNxCcoPQYnEQ==" saltValue="QBUO5oXWYkK69wXrYzk4ZQ==" spinCount="100000" sheet="1" objects="1" scenarios="1"/>
  <mergeCells count="5">
    <mergeCell ref="B3:F4"/>
    <mergeCell ref="B8:F8"/>
    <mergeCell ref="B15:F15"/>
    <mergeCell ref="B22:F22"/>
    <mergeCell ref="B29:F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6.1406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3" t="s">
        <v>211</v>
      </c>
      <c r="C3" s="83"/>
      <c r="D3" s="1"/>
    </row>
    <row r="4" spans="1:4" ht="25.5" customHeight="1" x14ac:dyDescent="0.25">
      <c r="A4" s="1"/>
      <c r="B4" s="83"/>
      <c r="C4" s="83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40" t="s">
        <v>14</v>
      </c>
      <c r="C8" s="20"/>
      <c r="D8" s="1"/>
    </row>
    <row r="9" spans="1:4" x14ac:dyDescent="0.25">
      <c r="A9" s="1"/>
      <c r="B9" s="48" t="s">
        <v>141</v>
      </c>
      <c r="C9" s="26">
        <v>1.2699999999999999E-2</v>
      </c>
      <c r="D9" s="1"/>
    </row>
    <row r="10" spans="1:4" x14ac:dyDescent="0.25">
      <c r="A10" s="1"/>
      <c r="B10" s="48" t="s">
        <v>22</v>
      </c>
      <c r="C10" s="26">
        <v>1.7500000000000002E-2</v>
      </c>
      <c r="D10" s="1"/>
    </row>
    <row r="11" spans="1:4" x14ac:dyDescent="0.25">
      <c r="A11" s="1"/>
      <c r="B11" s="48" t="s">
        <v>142</v>
      </c>
      <c r="C11" s="26">
        <v>1.6899999999999998E-2</v>
      </c>
      <c r="D11" s="1"/>
    </row>
    <row r="12" spans="1:4" x14ac:dyDescent="0.25">
      <c r="A12" s="1"/>
      <c r="B12" s="34" t="s">
        <v>47</v>
      </c>
      <c r="C12" s="35">
        <v>1.9699999999999999E-2</v>
      </c>
      <c r="D12" s="1"/>
    </row>
    <row r="13" spans="1:4" x14ac:dyDescent="0.25">
      <c r="A13" s="1"/>
      <c r="B13" s="34" t="s">
        <v>178</v>
      </c>
      <c r="C13" s="35">
        <v>1.2200000000000001E-2</v>
      </c>
      <c r="D13" s="1"/>
    </row>
    <row r="14" spans="1:4" x14ac:dyDescent="0.25">
      <c r="A14" s="1"/>
      <c r="B14" s="96"/>
      <c r="C14" s="98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40" t="s">
        <v>126</v>
      </c>
      <c r="C17" s="20"/>
      <c r="D17" s="1"/>
    </row>
    <row r="18" spans="1:4" x14ac:dyDescent="0.25">
      <c r="A18" s="1"/>
      <c r="B18" s="48" t="s">
        <v>143</v>
      </c>
      <c r="C18" s="23">
        <v>9.1000000000000004E-3</v>
      </c>
      <c r="D18" s="1"/>
    </row>
    <row r="19" spans="1:4" x14ac:dyDescent="0.25">
      <c r="A19" s="1"/>
      <c r="B19" s="48" t="s">
        <v>144</v>
      </c>
      <c r="C19" s="23">
        <v>1.77E-2</v>
      </c>
      <c r="D19" s="1"/>
    </row>
    <row r="20" spans="1:4" x14ac:dyDescent="0.25">
      <c r="A20" s="1"/>
      <c r="B20" s="48" t="s">
        <v>145</v>
      </c>
      <c r="C20" s="23">
        <v>8.6999999999999994E-3</v>
      </c>
      <c r="D20" s="1"/>
    </row>
    <row r="21" spans="1:4" x14ac:dyDescent="0.25">
      <c r="A21" s="1"/>
      <c r="B21" s="48" t="s">
        <v>146</v>
      </c>
      <c r="C21" s="36">
        <v>2.8400000000000002E-2</v>
      </c>
      <c r="D21" s="1"/>
    </row>
    <row r="22" spans="1:4" x14ac:dyDescent="0.25">
      <c r="A22" s="1"/>
      <c r="B22" s="48" t="s">
        <v>186</v>
      </c>
      <c r="C22" s="36">
        <v>2.75E-2</v>
      </c>
      <c r="D22" s="1"/>
    </row>
    <row r="23" spans="1:4" x14ac:dyDescent="0.25">
      <c r="A23" s="1"/>
      <c r="B23" s="40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40" t="s">
        <v>127</v>
      </c>
      <c r="C26" s="20"/>
      <c r="D26" s="1"/>
    </row>
    <row r="27" spans="1:4" x14ac:dyDescent="0.25">
      <c r="A27" s="1"/>
      <c r="B27" s="48" t="s">
        <v>147</v>
      </c>
      <c r="C27" s="26">
        <v>0.02</v>
      </c>
      <c r="D27" s="1"/>
    </row>
    <row r="28" spans="1:4" x14ac:dyDescent="0.25">
      <c r="A28" s="1"/>
      <c r="B28" s="40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p4W+FDlXpN672GCVfswnI/EBbQsGz+OEb1QWKX5fA32rZ/0/b8PfveE4PRlwkyvPH61jE52EPSfhIfXcOlGQTw==" saltValue="fvSJf16XrHpfYQAIDpkymQ==" spinCount="100000" sheet="1" objects="1" scenarios="1"/>
  <mergeCells count="2">
    <mergeCell ref="B3:C4"/>
    <mergeCell ref="B14:C1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6.7109375" style="2" customWidth="1"/>
    <col min="3" max="3" width="12.7109375" style="2" bestFit="1" customWidth="1"/>
    <col min="4" max="4" width="3.85546875" style="2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161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13</v>
      </c>
      <c r="C8" s="41"/>
      <c r="D8" s="20"/>
      <c r="E8" s="1"/>
    </row>
    <row r="9" spans="1:5" x14ac:dyDescent="0.25">
      <c r="A9" s="1"/>
      <c r="B9" s="44" t="s">
        <v>25</v>
      </c>
      <c r="C9" s="7">
        <f>'Fane 3. Omkostninger i ØR2020'!E20</f>
        <v>9977436.7405978572</v>
      </c>
      <c r="D9" s="8" t="s">
        <v>3</v>
      </c>
      <c r="E9" s="1"/>
    </row>
    <row r="10" spans="1:5" ht="17.100000000000001" customHeight="1" x14ac:dyDescent="0.25">
      <c r="A10" s="1"/>
      <c r="B10" s="31" t="s">
        <v>45</v>
      </c>
      <c r="C10" s="7">
        <f>'Fane 9.1. Varige tillæg'!C13</f>
        <v>4745.1935999999996</v>
      </c>
      <c r="D10" s="8" t="s">
        <v>3</v>
      </c>
      <c r="E10" s="1"/>
    </row>
    <row r="11" spans="1:5" ht="17.100000000000001" customHeight="1" x14ac:dyDescent="0.25">
      <c r="A11" s="1"/>
      <c r="B11" s="31" t="s">
        <v>46</v>
      </c>
      <c r="C11" s="9">
        <f>'Fane 9.1. Varige tillæg'!E13</f>
        <v>1846.2528</v>
      </c>
      <c r="D11" s="8" t="s">
        <v>3</v>
      </c>
      <c r="E11" s="1"/>
    </row>
    <row r="12" spans="1:5" ht="17.100000000000001" customHeight="1" x14ac:dyDescent="0.25">
      <c r="A12" s="1"/>
      <c r="B12" s="31" t="s">
        <v>30</v>
      </c>
      <c r="C12" s="9">
        <f>-'Fane 11.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31" t="s">
        <v>29</v>
      </c>
      <c r="C13" s="9">
        <f>-'Fane 11.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31" t="s">
        <v>159</v>
      </c>
      <c r="C14" s="9">
        <f>'Fane 10.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31" t="s">
        <v>160</v>
      </c>
      <c r="C15" s="9">
        <f>'Fane 10.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31" t="s">
        <v>18</v>
      </c>
      <c r="C16" s="9">
        <f>SUM(C9:C15)*'Fane 12. Nøgletal'!C13</f>
        <v>121805.14388137388</v>
      </c>
      <c r="D16" s="8" t="s">
        <v>3</v>
      </c>
      <c r="E16" s="1"/>
    </row>
    <row r="17" spans="1:5" ht="17.100000000000001" customHeight="1" x14ac:dyDescent="0.25">
      <c r="A17" s="1"/>
      <c r="B17" s="31" t="s">
        <v>9</v>
      </c>
      <c r="C17" s="9">
        <f>-SUM(C9:C16)*'Fane 5. Individuelt eff. krav'!G10</f>
        <v>-92598.931550923895</v>
      </c>
      <c r="D17" s="8" t="s">
        <v>3</v>
      </c>
      <c r="E17" s="1"/>
    </row>
    <row r="18" spans="1:5" ht="17.100000000000001" customHeight="1" x14ac:dyDescent="0.25">
      <c r="A18" s="1"/>
      <c r="B18" s="31" t="s">
        <v>27</v>
      </c>
      <c r="C18" s="9">
        <f>-'Fane 4.1. Gen. krav - drift'!G31</f>
        <v>-123539.73294714121</v>
      </c>
      <c r="D18" s="8" t="s">
        <v>3</v>
      </c>
      <c r="E18" s="1"/>
    </row>
    <row r="19" spans="1:5" ht="17.100000000000001" customHeight="1" x14ac:dyDescent="0.25">
      <c r="A19" s="1"/>
      <c r="B19" s="31" t="s">
        <v>28</v>
      </c>
      <c r="C19" s="9">
        <f>-'Fane 4.2. Gen. krav - anlæg'!G31</f>
        <v>-130912.22239174262</v>
      </c>
      <c r="D19" s="8" t="s">
        <v>3</v>
      </c>
      <c r="E19" s="1"/>
    </row>
    <row r="20" spans="1:5" ht="17.100000000000001" customHeight="1" x14ac:dyDescent="0.25">
      <c r="A20" s="1"/>
      <c r="B20" s="49" t="s">
        <v>20</v>
      </c>
      <c r="C20" s="10">
        <f>SUM(C9:C19)</f>
        <v>9758782.443989424</v>
      </c>
      <c r="D20" s="11" t="s">
        <v>3</v>
      </c>
      <c r="E20" s="1"/>
    </row>
    <row r="21" spans="1:5" ht="15" customHeight="1" x14ac:dyDescent="0.25">
      <c r="A21" s="1"/>
      <c r="B21" s="40" t="s">
        <v>12</v>
      </c>
      <c r="C21" s="41"/>
      <c r="D21" s="20"/>
      <c r="E21" s="1"/>
    </row>
    <row r="22" spans="1:5" ht="15" customHeight="1" x14ac:dyDescent="0.25">
      <c r="A22" s="1"/>
      <c r="B22" s="42" t="s">
        <v>12</v>
      </c>
      <c r="C22" s="10">
        <f>'Fane 6. Ikke-påvirkelige omk.'!C17</f>
        <v>13047872.295475081</v>
      </c>
      <c r="D22" s="11" t="s">
        <v>3</v>
      </c>
      <c r="E22" s="1"/>
    </row>
    <row r="23" spans="1:5" ht="15" customHeight="1" x14ac:dyDescent="0.25">
      <c r="A23" s="1"/>
      <c r="B23" s="40" t="s">
        <v>99</v>
      </c>
      <c r="C23" s="41"/>
      <c r="D23" s="20"/>
      <c r="E23" s="1"/>
    </row>
    <row r="24" spans="1:5" ht="15" customHeight="1" x14ac:dyDescent="0.25">
      <c r="A24" s="1"/>
      <c r="B24" s="31" t="s">
        <v>95</v>
      </c>
      <c r="C24" s="9">
        <f>'Fane 9.2. Engangstillæg'!C14</f>
        <v>0</v>
      </c>
      <c r="D24" s="8" t="s">
        <v>3</v>
      </c>
      <c r="E24" s="1"/>
    </row>
    <row r="25" spans="1:5" ht="15" customHeight="1" x14ac:dyDescent="0.25">
      <c r="A25" s="1"/>
      <c r="B25" s="31" t="s">
        <v>96</v>
      </c>
      <c r="C25" s="9">
        <f>'Fane 9.2. Engangstillæg'!E14</f>
        <v>0</v>
      </c>
      <c r="D25" s="8" t="s">
        <v>3</v>
      </c>
      <c r="E25" s="1"/>
    </row>
    <row r="26" spans="1:5" x14ac:dyDescent="0.25">
      <c r="A26" s="1"/>
      <c r="B26" s="49" t="s">
        <v>100</v>
      </c>
      <c r="C26" s="10">
        <f>SUM(C24:C25)</f>
        <v>0</v>
      </c>
      <c r="D26" s="11" t="s">
        <v>3</v>
      </c>
      <c r="E26" s="1"/>
    </row>
    <row r="27" spans="1:5" ht="15" customHeight="1" x14ac:dyDescent="0.25">
      <c r="A27" s="1"/>
      <c r="B27" s="38" t="s">
        <v>204</v>
      </c>
      <c r="C27" s="41"/>
      <c r="D27" s="20"/>
      <c r="E27" s="1"/>
    </row>
    <row r="28" spans="1:5" x14ac:dyDescent="0.25">
      <c r="A28" s="1"/>
      <c r="B28" s="50" t="s">
        <v>205</v>
      </c>
      <c r="C28" s="10">
        <f>'Fane 7. Kontrol af ØR2019'!E39</f>
        <v>-43488.995422769338</v>
      </c>
      <c r="D28" s="11" t="s">
        <v>3</v>
      </c>
      <c r="E28" s="1"/>
    </row>
    <row r="29" spans="1:5" x14ac:dyDescent="0.25">
      <c r="A29" s="1"/>
      <c r="B29" s="40" t="s">
        <v>31</v>
      </c>
      <c r="C29" s="32">
        <f>SUM(C20,C22,C26,C28)</f>
        <v>22763165.744041737</v>
      </c>
      <c r="D29" s="20" t="s">
        <v>3</v>
      </c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4EjEiQNXhrH0yaCigJmUE30NqvMVCx9tMY483UDvM65N54pmQjVTos3nLIV/SPHQ5bwJJzOGHOZbsg1GF2u50Q==" saltValue="3h6w6cVsxhm8KpaRUt0U5Q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425781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162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/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40" t="s">
        <v>13</v>
      </c>
      <c r="C8" s="41"/>
      <c r="D8" s="20"/>
      <c r="E8" s="1"/>
    </row>
    <row r="9" spans="1:5" ht="15" customHeight="1" x14ac:dyDescent="0.25">
      <c r="A9" s="1"/>
      <c r="B9" s="44" t="s">
        <v>26</v>
      </c>
      <c r="C9" s="7">
        <f>'Fane 2.1. Økonomisk ramme 2021'!C20</f>
        <v>9758782.443989424</v>
      </c>
      <c r="D9" s="8" t="s">
        <v>3</v>
      </c>
      <c r="E9" s="1"/>
    </row>
    <row r="10" spans="1:5" ht="15" customHeight="1" x14ac:dyDescent="0.25">
      <c r="A10" s="1"/>
      <c r="B10" s="31" t="s">
        <v>30</v>
      </c>
      <c r="C10" s="7">
        <f>-'Fane 11. Bortfald'!C19</f>
        <v>0</v>
      </c>
      <c r="D10" s="8" t="s">
        <v>3</v>
      </c>
      <c r="E10" s="1"/>
    </row>
    <row r="11" spans="1:5" ht="15" customHeight="1" x14ac:dyDescent="0.25">
      <c r="A11" s="1"/>
      <c r="B11" s="31" t="s">
        <v>29</v>
      </c>
      <c r="C11" s="7">
        <f>-'Fane 11. Bortfald'!E19</f>
        <v>0</v>
      </c>
      <c r="D11" s="8" t="s">
        <v>3</v>
      </c>
      <c r="E11" s="1"/>
    </row>
    <row r="12" spans="1:5" ht="15" customHeight="1" x14ac:dyDescent="0.25">
      <c r="A12" s="1"/>
      <c r="B12" s="39" t="s">
        <v>18</v>
      </c>
      <c r="C12" s="9">
        <f>SUM(C9:C11)*'Fane 12. Nøgletal'!C13</f>
        <v>119057.14581667098</v>
      </c>
      <c r="D12" s="8" t="s">
        <v>3</v>
      </c>
      <c r="E12" s="1"/>
    </row>
    <row r="13" spans="1:5" ht="15" customHeight="1" x14ac:dyDescent="0.25">
      <c r="A13" s="1"/>
      <c r="B13" s="39" t="s">
        <v>9</v>
      </c>
      <c r="C13" s="9">
        <f>-SUM(C9:C12)*'Fane 5. Individuelt eff. krav'!G10</f>
        <v>-90509.84338447245</v>
      </c>
      <c r="D13" s="8" t="s">
        <v>3</v>
      </c>
      <c r="E13" s="1"/>
    </row>
    <row r="14" spans="1:5" ht="15" customHeight="1" x14ac:dyDescent="0.25">
      <c r="A14" s="1"/>
      <c r="B14" s="39" t="s">
        <v>27</v>
      </c>
      <c r="C14" s="9">
        <f>-'Fane 4.1. Gen. krav - drift'!G37</f>
        <v>-122545.97933531441</v>
      </c>
      <c r="D14" s="8" t="s">
        <v>3</v>
      </c>
      <c r="E14" s="1"/>
    </row>
    <row r="15" spans="1:5" ht="15" customHeight="1" x14ac:dyDescent="0.25">
      <c r="A15" s="1"/>
      <c r="B15" s="39" t="s">
        <v>28</v>
      </c>
      <c r="C15" s="9">
        <f>-'Fane 4.2. Gen. krav - anlæg'!G37</f>
        <v>-128865.34433853655</v>
      </c>
      <c r="D15" s="8" t="s">
        <v>3</v>
      </c>
      <c r="E15" s="1"/>
    </row>
    <row r="16" spans="1:5" ht="15" customHeight="1" x14ac:dyDescent="0.25">
      <c r="A16" s="1"/>
      <c r="B16" s="45" t="s">
        <v>20</v>
      </c>
      <c r="C16" s="10">
        <f>SUM(C9:C15)</f>
        <v>9535918.4227477722</v>
      </c>
      <c r="D16" s="11" t="s">
        <v>3</v>
      </c>
      <c r="E16" s="1"/>
    </row>
    <row r="17" spans="1:5" x14ac:dyDescent="0.25">
      <c r="A17" s="1"/>
      <c r="B17" s="40" t="s">
        <v>12</v>
      </c>
      <c r="C17" s="41"/>
      <c r="D17" s="20"/>
      <c r="E17" s="1"/>
    </row>
    <row r="18" spans="1:5" ht="15" customHeight="1" x14ac:dyDescent="0.25">
      <c r="A18" s="1"/>
      <c r="B18" s="42" t="s">
        <v>12</v>
      </c>
      <c r="C18" s="10">
        <f>'Fane 6. Ikke-påvirkelige omk.'!C17*(1+'Fane 12. Nøgletal'!C13)</f>
        <v>13207056.337479876</v>
      </c>
      <c r="D18" s="11" t="s">
        <v>3</v>
      </c>
      <c r="E18" s="1"/>
    </row>
    <row r="19" spans="1:5" ht="15" customHeight="1" x14ac:dyDescent="0.25">
      <c r="A19" s="1"/>
      <c r="B19" s="40" t="s">
        <v>99</v>
      </c>
      <c r="C19" s="41"/>
      <c r="D19" s="20"/>
      <c r="E19" s="1"/>
    </row>
    <row r="20" spans="1:5" ht="15" customHeight="1" x14ac:dyDescent="0.25">
      <c r="A20" s="1"/>
      <c r="B20" s="31" t="s">
        <v>95</v>
      </c>
      <c r="C20" s="9">
        <f>'Fane 9.2. Engangstillæg'!C22</f>
        <v>0</v>
      </c>
      <c r="D20" s="8" t="s">
        <v>3</v>
      </c>
      <c r="E20" s="1"/>
    </row>
    <row r="21" spans="1:5" ht="15" customHeight="1" x14ac:dyDescent="0.25">
      <c r="A21" s="1"/>
      <c r="B21" s="31" t="s">
        <v>96</v>
      </c>
      <c r="C21" s="9">
        <f>'Fane 9.2. Engangstillæg'!E22</f>
        <v>0</v>
      </c>
      <c r="D21" s="8" t="s">
        <v>3</v>
      </c>
      <c r="E21" s="1"/>
    </row>
    <row r="22" spans="1:5" ht="15" customHeight="1" x14ac:dyDescent="0.25">
      <c r="A22" s="1"/>
      <c r="B22" s="49" t="s">
        <v>100</v>
      </c>
      <c r="C22" s="10">
        <f>SUM(C20:C21)</f>
        <v>0</v>
      </c>
      <c r="D22" s="11" t="s">
        <v>3</v>
      </c>
      <c r="E22" s="1"/>
    </row>
    <row r="23" spans="1:5" x14ac:dyDescent="0.25">
      <c r="A23" s="1"/>
      <c r="B23" s="38" t="s">
        <v>204</v>
      </c>
      <c r="C23" s="41"/>
      <c r="D23" s="20"/>
      <c r="E23" s="1"/>
    </row>
    <row r="24" spans="1:5" ht="15" customHeight="1" x14ac:dyDescent="0.25">
      <c r="A24" s="1"/>
      <c r="B24" s="50" t="s">
        <v>205</v>
      </c>
      <c r="C24" s="10">
        <f>'Fane 7. Kontrol af ØR2019'!E39</f>
        <v>-43488.995422769338</v>
      </c>
      <c r="D24" s="11" t="s">
        <v>3</v>
      </c>
      <c r="E24" s="1"/>
    </row>
    <row r="25" spans="1:5" x14ac:dyDescent="0.25">
      <c r="A25" s="1"/>
      <c r="B25" s="40" t="s">
        <v>32</v>
      </c>
      <c r="C25" s="12">
        <f>SUM(C16,C18,C22,C24)</f>
        <v>22699485.764804881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F2Rarh7roBJyD3W2PAM/QllkXpUyDmQ7pdCIxA2RzSa9M93Q0n0PFE/h6uMS+X5fTfh/ZwgWprJMxm6SeD1UOQ==" saltValue="JtZ0PMjKR1nkdc/D0Nuk4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28515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163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0" t="s">
        <v>13</v>
      </c>
      <c r="C7" s="41"/>
      <c r="D7" s="20"/>
      <c r="E7" s="1"/>
    </row>
    <row r="8" spans="1:5" ht="15" customHeight="1" x14ac:dyDescent="0.25">
      <c r="A8" s="1"/>
      <c r="B8" s="44" t="s">
        <v>165</v>
      </c>
      <c r="C8" s="7">
        <f>'Fane 2.2. Økonomisk ramme 2022'!C16</f>
        <v>9535918.4227477722</v>
      </c>
      <c r="D8" s="8" t="s">
        <v>3</v>
      </c>
      <c r="E8" s="1"/>
    </row>
    <row r="9" spans="1:5" ht="15" customHeight="1" x14ac:dyDescent="0.25">
      <c r="A9" s="1"/>
      <c r="B9" s="44" t="s">
        <v>30</v>
      </c>
      <c r="C9" s="7">
        <f>-'Fane 11. Bortfald'!C26</f>
        <v>0</v>
      </c>
      <c r="D9" s="8" t="s">
        <v>3</v>
      </c>
      <c r="E9" s="1"/>
    </row>
    <row r="10" spans="1:5" ht="15" customHeight="1" x14ac:dyDescent="0.25">
      <c r="A10" s="1"/>
      <c r="B10" s="44" t="s">
        <v>29</v>
      </c>
      <c r="C10" s="7">
        <f>-'Fane 11. Bortfald'!E26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116338.20475752284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-88442.844988474841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drift'!G43</f>
        <v>-121560.21947754113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anlæg'!G43</f>
        <v>-126850.47024713135</v>
      </c>
      <c r="D14" s="8" t="s">
        <v>3</v>
      </c>
      <c r="E14" s="1"/>
    </row>
    <row r="15" spans="1:5" x14ac:dyDescent="0.25">
      <c r="A15" s="1"/>
      <c r="B15" s="45" t="s">
        <v>20</v>
      </c>
      <c r="C15" s="10">
        <f>SUM(C8:C14)</f>
        <v>9315403.0927921478</v>
      </c>
      <c r="D15" s="11" t="s">
        <v>3</v>
      </c>
      <c r="E15" s="1"/>
    </row>
    <row r="16" spans="1:5" x14ac:dyDescent="0.25">
      <c r="A16" s="1"/>
      <c r="B16" s="40" t="s">
        <v>12</v>
      </c>
      <c r="C16" s="41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omk.'!C17*(1+'Fane 12. Nøgletal'!C13)^2</f>
        <v>13368182.424797131</v>
      </c>
      <c r="D17" s="11" t="s">
        <v>3</v>
      </c>
      <c r="E17" s="1"/>
    </row>
    <row r="18" spans="1:5" ht="15" customHeight="1" x14ac:dyDescent="0.25">
      <c r="A18" s="1"/>
      <c r="B18" s="40" t="s">
        <v>99</v>
      </c>
      <c r="C18" s="41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Engangstillæg'!C30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Engangstillæg'!E30</f>
        <v>0</v>
      </c>
      <c r="D20" s="8" t="s">
        <v>3</v>
      </c>
      <c r="E20" s="1"/>
    </row>
    <row r="21" spans="1:5" ht="15" customHeight="1" x14ac:dyDescent="0.2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ht="15" customHeight="1" x14ac:dyDescent="0.25">
      <c r="A22" s="1"/>
      <c r="B22" s="40" t="s">
        <v>109</v>
      </c>
      <c r="C22" s="12">
        <f>SUM(C15,C17,C21)</f>
        <v>22683585.517589279</v>
      </c>
      <c r="D22" s="13" t="s">
        <v>3</v>
      </c>
      <c r="E22" s="1"/>
    </row>
    <row r="23" spans="1:5" ht="15" customHeight="1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V+wmnmwiq19URu00aUJOOPqBnrK+FIwrkoCF/0x9sQVZJlqGIG6bdfjq2y/d7iGwrPgRu4BdLqnKo5WtVFpFAg==" saltValue="JZf5L0lWGTkcoeokwr/YYA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3.140625" style="2" customWidth="1"/>
    <col min="3" max="3" width="10.28515625" style="2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3" t="s">
        <v>164</v>
      </c>
      <c r="C3" s="73"/>
      <c r="D3" s="73"/>
      <c r="E3" s="1"/>
    </row>
    <row r="4" spans="1:5" ht="15" customHeight="1" x14ac:dyDescent="0.25">
      <c r="A4" s="1"/>
      <c r="B4" s="73"/>
      <c r="C4" s="73"/>
      <c r="D4" s="73"/>
      <c r="E4" s="1"/>
    </row>
    <row r="5" spans="1:5" x14ac:dyDescent="0.25">
      <c r="A5" s="1"/>
      <c r="B5" s="74" t="s">
        <v>21</v>
      </c>
      <c r="C5" s="74"/>
      <c r="D5" s="74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40" t="s">
        <v>13</v>
      </c>
      <c r="C7" s="41"/>
      <c r="D7" s="20"/>
      <c r="E7" s="1"/>
    </row>
    <row r="8" spans="1:5" ht="15" customHeight="1" x14ac:dyDescent="0.25">
      <c r="A8" s="1"/>
      <c r="B8" s="44" t="s">
        <v>166</v>
      </c>
      <c r="C8" s="7">
        <f>'Fane 2.3. Økonomisk ramme 2023'!C15</f>
        <v>9315403.0927921478</v>
      </c>
      <c r="D8" s="8" t="s">
        <v>3</v>
      </c>
      <c r="E8" s="1"/>
    </row>
    <row r="9" spans="1:5" ht="15" customHeight="1" x14ac:dyDescent="0.25">
      <c r="A9" s="1"/>
      <c r="B9" s="44" t="s">
        <v>30</v>
      </c>
      <c r="C9" s="7">
        <f>-'Fane 11. Bortfald'!C33</f>
        <v>0</v>
      </c>
      <c r="D9" s="8" t="s">
        <v>3</v>
      </c>
      <c r="E9" s="1"/>
    </row>
    <row r="10" spans="1:5" ht="15" customHeight="1" x14ac:dyDescent="0.25">
      <c r="A10" s="1"/>
      <c r="B10" s="44" t="s">
        <v>29</v>
      </c>
      <c r="C10" s="7">
        <f>-'Fane 11. Bortfald'!E33</f>
        <v>0</v>
      </c>
      <c r="D10" s="8" t="s">
        <v>3</v>
      </c>
      <c r="E10" s="1"/>
    </row>
    <row r="11" spans="1:5" ht="15" customHeight="1" x14ac:dyDescent="0.25">
      <c r="A11" s="1"/>
      <c r="B11" s="39" t="s">
        <v>18</v>
      </c>
      <c r="C11" s="9">
        <f>SUM(C8:C10)*'Fane 12. Nøgletal'!C13</f>
        <v>113647.9177320642</v>
      </c>
      <c r="D11" s="8" t="s">
        <v>3</v>
      </c>
      <c r="E11" s="1"/>
    </row>
    <row r="12" spans="1:5" ht="15" customHeight="1" x14ac:dyDescent="0.25">
      <c r="A12" s="1"/>
      <c r="B12" s="39" t="s">
        <v>9</v>
      </c>
      <c r="C12" s="9">
        <f>-SUM(C8:C11)*'Fane 5. Individuelt eff. krav'!G10</f>
        <v>-86397.630014915136</v>
      </c>
      <c r="D12" s="8" t="s">
        <v>3</v>
      </c>
      <c r="E12" s="1"/>
    </row>
    <row r="13" spans="1:5" ht="15" customHeight="1" x14ac:dyDescent="0.25">
      <c r="A13" s="1"/>
      <c r="B13" s="39" t="s">
        <v>27</v>
      </c>
      <c r="C13" s="9">
        <f>-'Fane 4.1. Gen. krav - drift'!G49</f>
        <v>-120582.38907206379</v>
      </c>
      <c r="D13" s="8" t="s">
        <v>3</v>
      </c>
      <c r="E13" s="1"/>
    </row>
    <row r="14" spans="1:5" ht="15" customHeight="1" x14ac:dyDescent="0.25">
      <c r="A14" s="1"/>
      <c r="B14" s="39" t="s">
        <v>28</v>
      </c>
      <c r="C14" s="9">
        <f>-'Fane 4.2. Gen. krav - anlæg'!G49</f>
        <v>-124867.09971958231</v>
      </c>
      <c r="D14" s="8" t="s">
        <v>3</v>
      </c>
      <c r="E14" s="1"/>
    </row>
    <row r="15" spans="1:5" x14ac:dyDescent="0.25">
      <c r="A15" s="1"/>
      <c r="B15" s="45" t="s">
        <v>20</v>
      </c>
      <c r="C15" s="10">
        <f>SUM(C8:C14)</f>
        <v>9097203.89171765</v>
      </c>
      <c r="D15" s="11" t="s">
        <v>3</v>
      </c>
      <c r="E15" s="1"/>
    </row>
    <row r="16" spans="1:5" x14ac:dyDescent="0.25">
      <c r="A16" s="1"/>
      <c r="B16" s="40" t="s">
        <v>12</v>
      </c>
      <c r="C16" s="41"/>
      <c r="D16" s="20"/>
      <c r="E16" s="1"/>
    </row>
    <row r="17" spans="1:5" ht="15" customHeight="1" x14ac:dyDescent="0.25">
      <c r="A17" s="1"/>
      <c r="B17" s="42" t="s">
        <v>12</v>
      </c>
      <c r="C17" s="10">
        <f>'Fane 6. Ikke-påvirkelige omk.'!C17*(1+'Fane 12. Nøgletal'!C13)^3</f>
        <v>13531274.250379657</v>
      </c>
      <c r="D17" s="11" t="s">
        <v>3</v>
      </c>
      <c r="E17" s="1"/>
    </row>
    <row r="18" spans="1:5" ht="15" customHeight="1" x14ac:dyDescent="0.25">
      <c r="A18" s="1"/>
      <c r="B18" s="40" t="s">
        <v>99</v>
      </c>
      <c r="C18" s="41"/>
      <c r="D18" s="20"/>
      <c r="E18" s="1"/>
    </row>
    <row r="19" spans="1:5" ht="15" customHeight="1" x14ac:dyDescent="0.25">
      <c r="A19" s="1"/>
      <c r="B19" s="31" t="s">
        <v>95</v>
      </c>
      <c r="C19" s="9">
        <f>'Fane 9.2. Engangstillæg'!C38</f>
        <v>0</v>
      </c>
      <c r="D19" s="8" t="s">
        <v>3</v>
      </c>
      <c r="E19" s="1"/>
    </row>
    <row r="20" spans="1:5" ht="15" customHeight="1" x14ac:dyDescent="0.25">
      <c r="A20" s="1"/>
      <c r="B20" s="31" t="s">
        <v>96</v>
      </c>
      <c r="C20" s="9">
        <f>'Fane 9.2. Engangstillæg'!E38</f>
        <v>0</v>
      </c>
      <c r="D20" s="8" t="s">
        <v>3</v>
      </c>
      <c r="E20" s="1"/>
    </row>
    <row r="21" spans="1:5" ht="15" customHeight="1" x14ac:dyDescent="0.25">
      <c r="A21" s="1"/>
      <c r="B21" s="49" t="s">
        <v>100</v>
      </c>
      <c r="C21" s="10">
        <f>SUM(C19:C20)</f>
        <v>0</v>
      </c>
      <c r="D21" s="11" t="s">
        <v>3</v>
      </c>
      <c r="E21" s="1"/>
    </row>
    <row r="22" spans="1:5" x14ac:dyDescent="0.25">
      <c r="A22" s="1"/>
      <c r="B22" s="40" t="s">
        <v>242</v>
      </c>
      <c r="C22" s="12">
        <f>SUM(C15,C17,C21)</f>
        <v>22628478.142097309</v>
      </c>
      <c r="D22" s="13" t="s">
        <v>3</v>
      </c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7W30iVgk9SLDUDhB7YRUKLZXT8mmzTIM9qVC/VlmiCs/NgJv8HH4roh3nw53hz2yZKs9BBbB+44g5R/jXFZYfA==" saltValue="FRNq77RDjvs+Yer85vxqW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3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3" width="9.140625" style="2"/>
    <col min="4" max="4" width="39.42578125" style="2" customWidth="1"/>
    <col min="5" max="5" width="9.85546875" style="2" bestFit="1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3" t="s">
        <v>180</v>
      </c>
      <c r="C3" s="83"/>
      <c r="D3" s="83"/>
      <c r="E3" s="83"/>
      <c r="F3" s="83"/>
      <c r="G3" s="1"/>
    </row>
    <row r="4" spans="1:7" ht="29.25" customHeight="1" x14ac:dyDescent="0.25">
      <c r="A4" s="1"/>
      <c r="B4" s="83"/>
      <c r="C4" s="83"/>
      <c r="D4" s="83"/>
      <c r="E4" s="83"/>
      <c r="F4" s="83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40" t="s">
        <v>167</v>
      </c>
      <c r="C8" s="41"/>
      <c r="D8" s="41"/>
      <c r="E8" s="41"/>
      <c r="F8" s="20"/>
      <c r="G8" s="1"/>
    </row>
    <row r="9" spans="1:7" x14ac:dyDescent="0.25">
      <c r="A9" s="1"/>
      <c r="B9" s="84" t="s">
        <v>23</v>
      </c>
      <c r="C9" s="85"/>
      <c r="D9" s="86"/>
      <c r="E9" s="7">
        <v>10099271.259572616</v>
      </c>
      <c r="F9" s="8" t="s">
        <v>3</v>
      </c>
      <c r="G9" s="1"/>
    </row>
    <row r="10" spans="1:7" ht="15" customHeight="1" x14ac:dyDescent="0.25">
      <c r="A10" s="1"/>
      <c r="B10" s="75" t="s">
        <v>45</v>
      </c>
      <c r="C10" s="76"/>
      <c r="D10" s="77"/>
      <c r="E10" s="7">
        <v>44516.204389612925</v>
      </c>
      <c r="F10" s="8" t="s">
        <v>3</v>
      </c>
      <c r="G10" s="1"/>
    </row>
    <row r="11" spans="1:7" ht="15" customHeight="1" x14ac:dyDescent="0.25">
      <c r="A11" s="1"/>
      <c r="B11" s="75" t="s">
        <v>46</v>
      </c>
      <c r="C11" s="76"/>
      <c r="D11" s="77"/>
      <c r="E11" s="9">
        <v>17685.816526050115</v>
      </c>
      <c r="F11" s="8" t="s">
        <v>3</v>
      </c>
      <c r="G11" s="1"/>
    </row>
    <row r="12" spans="1:7" x14ac:dyDescent="0.25">
      <c r="A12" s="1"/>
      <c r="B12" s="75" t="s">
        <v>30</v>
      </c>
      <c r="C12" s="76"/>
      <c r="D12" s="77"/>
      <c r="E12" s="9">
        <v>0</v>
      </c>
      <c r="F12" s="8" t="s">
        <v>3</v>
      </c>
      <c r="G12" s="1"/>
    </row>
    <row r="13" spans="1:7" x14ac:dyDescent="0.25">
      <c r="A13" s="1"/>
      <c r="B13" s="75" t="s">
        <v>29</v>
      </c>
      <c r="C13" s="76"/>
      <c r="D13" s="77"/>
      <c r="E13" s="9">
        <v>0</v>
      </c>
      <c r="F13" s="8" t="s">
        <v>3</v>
      </c>
      <c r="G13" s="1"/>
    </row>
    <row r="14" spans="1:7" x14ac:dyDescent="0.25">
      <c r="A14" s="1"/>
      <c r="B14" s="75" t="s">
        <v>159</v>
      </c>
      <c r="C14" s="76"/>
      <c r="D14" s="77"/>
      <c r="E14" s="9">
        <v>0</v>
      </c>
      <c r="F14" s="8" t="s">
        <v>3</v>
      </c>
      <c r="G14" s="1"/>
    </row>
    <row r="15" spans="1:7" x14ac:dyDescent="0.25">
      <c r="A15" s="1"/>
      <c r="B15" s="75" t="s">
        <v>160</v>
      </c>
      <c r="C15" s="76"/>
      <c r="D15" s="77"/>
      <c r="E15" s="9">
        <v>0</v>
      </c>
      <c r="F15" s="8" t="s">
        <v>3</v>
      </c>
      <c r="G15" s="1"/>
    </row>
    <row r="16" spans="1:7" x14ac:dyDescent="0.25">
      <c r="A16" s="1"/>
      <c r="B16" s="75" t="s">
        <v>18</v>
      </c>
      <c r="C16" s="76"/>
      <c r="D16" s="77"/>
      <c r="E16" s="9">
        <f>E9*'Fane 12. Nøgletal'!C11+SUM(E10:E15)*'Fane 12. Nøgletal'!C12</f>
        <v>171903.06409881575</v>
      </c>
      <c r="F16" s="8" t="s">
        <v>3</v>
      </c>
      <c r="G16" s="1"/>
    </row>
    <row r="17" spans="1:7" x14ac:dyDescent="0.25">
      <c r="A17" s="1"/>
      <c r="B17" s="75" t="s">
        <v>9</v>
      </c>
      <c r="C17" s="76"/>
      <c r="D17" s="77"/>
      <c r="E17" s="9">
        <f>-SUM(E9:E16)*'Fane 5. Individuelt eff. krav'!G9</f>
        <v>-189876.92812728084</v>
      </c>
      <c r="F17" s="8" t="s">
        <v>3</v>
      </c>
      <c r="G17" s="1"/>
    </row>
    <row r="18" spans="1:7" x14ac:dyDescent="0.25">
      <c r="A18" s="1"/>
      <c r="B18" s="75" t="s">
        <v>27</v>
      </c>
      <c r="C18" s="76"/>
      <c r="D18" s="77"/>
      <c r="E18" s="9">
        <f>-'Fane 4.1. Gen. krav - drift'!G25</f>
        <v>-124444.70445050266</v>
      </c>
      <c r="F18" s="8" t="s">
        <v>3</v>
      </c>
      <c r="G18" s="1"/>
    </row>
    <row r="19" spans="1:7" x14ac:dyDescent="0.25">
      <c r="A19" s="1"/>
      <c r="B19" s="75" t="s">
        <v>28</v>
      </c>
      <c r="C19" s="76"/>
      <c r="D19" s="77"/>
      <c r="E19" s="9">
        <f>-'Fane 4.2. Gen. krav - anlæg'!G25</f>
        <v>-41617.971411452876</v>
      </c>
      <c r="F19" s="8" t="s">
        <v>3</v>
      </c>
      <c r="G19" s="1"/>
    </row>
    <row r="20" spans="1:7" x14ac:dyDescent="0.25">
      <c r="A20" s="1"/>
      <c r="B20" s="90" t="s">
        <v>20</v>
      </c>
      <c r="C20" s="91"/>
      <c r="D20" s="92"/>
      <c r="E20" s="10">
        <f>SUM(E9:E19)</f>
        <v>9977436.7405978572</v>
      </c>
      <c r="F20" s="11" t="s">
        <v>3</v>
      </c>
      <c r="G20" s="1"/>
    </row>
    <row r="21" spans="1:7" x14ac:dyDescent="0.25">
      <c r="A21" s="1"/>
      <c r="B21" s="78" t="s">
        <v>12</v>
      </c>
      <c r="C21" s="79"/>
      <c r="D21" s="79"/>
      <c r="E21" s="41"/>
      <c r="F21" s="20"/>
      <c r="G21" s="1"/>
    </row>
    <row r="22" spans="1:7" x14ac:dyDescent="0.25">
      <c r="A22" s="1"/>
      <c r="B22" s="80" t="s">
        <v>12</v>
      </c>
      <c r="C22" s="81"/>
      <c r="D22" s="82"/>
      <c r="E22" s="10">
        <v>13589953.391981341</v>
      </c>
      <c r="F22" s="11" t="s">
        <v>3</v>
      </c>
      <c r="G22" s="1"/>
    </row>
    <row r="23" spans="1:7" ht="15" customHeight="1" x14ac:dyDescent="0.25">
      <c r="A23" s="1"/>
      <c r="B23" s="78" t="s">
        <v>99</v>
      </c>
      <c r="C23" s="79"/>
      <c r="D23" s="79"/>
      <c r="E23" s="41"/>
      <c r="F23" s="41"/>
      <c r="G23" s="1"/>
    </row>
    <row r="24" spans="1:7" ht="14.25" customHeight="1" x14ac:dyDescent="0.25">
      <c r="A24" s="1"/>
      <c r="B24" s="87" t="s">
        <v>95</v>
      </c>
      <c r="C24" s="88"/>
      <c r="D24" s="89"/>
      <c r="E24" s="9">
        <v>0</v>
      </c>
      <c r="F24" s="8" t="s">
        <v>3</v>
      </c>
      <c r="G24" s="1"/>
    </row>
    <row r="25" spans="1:7" ht="14.25" customHeight="1" x14ac:dyDescent="0.25">
      <c r="A25" s="1"/>
      <c r="B25" s="87" t="s">
        <v>96</v>
      </c>
      <c r="C25" s="88"/>
      <c r="D25" s="89"/>
      <c r="E25" s="9">
        <v>0</v>
      </c>
      <c r="F25" s="8" t="s">
        <v>3</v>
      </c>
      <c r="G25" s="1"/>
    </row>
    <row r="26" spans="1:7" x14ac:dyDescent="0.25">
      <c r="A26" s="1"/>
      <c r="B26" s="93" t="s">
        <v>100</v>
      </c>
      <c r="C26" s="94"/>
      <c r="D26" s="94"/>
      <c r="E26" s="10">
        <v>0</v>
      </c>
      <c r="F26" s="11" t="s">
        <v>3</v>
      </c>
      <c r="G26" s="1"/>
    </row>
    <row r="27" spans="1:7" ht="14.25" customHeight="1" x14ac:dyDescent="0.25">
      <c r="A27" s="1"/>
      <c r="B27" s="40" t="s">
        <v>228</v>
      </c>
      <c r="C27" s="41"/>
      <c r="D27" s="41"/>
      <c r="E27" s="41"/>
      <c r="F27" s="41"/>
      <c r="G27" s="1"/>
    </row>
    <row r="28" spans="1:7" ht="13.15" customHeight="1" x14ac:dyDescent="0.25">
      <c r="A28" s="1"/>
      <c r="B28" s="93" t="s">
        <v>229</v>
      </c>
      <c r="C28" s="94"/>
      <c r="D28" s="95"/>
      <c r="E28" s="10">
        <v>173098</v>
      </c>
      <c r="F28" s="11" t="s">
        <v>3</v>
      </c>
      <c r="G28" s="1"/>
    </row>
    <row r="29" spans="1:7" x14ac:dyDescent="0.25">
      <c r="A29" s="1"/>
      <c r="B29" s="40" t="s">
        <v>230</v>
      </c>
      <c r="C29" s="41"/>
      <c r="D29" s="41"/>
      <c r="E29" s="41"/>
      <c r="F29" s="20"/>
      <c r="G29" s="1"/>
    </row>
    <row r="30" spans="1:7" ht="15" customHeight="1" x14ac:dyDescent="0.25">
      <c r="A30" s="1"/>
      <c r="B30" s="93" t="s">
        <v>231</v>
      </c>
      <c r="C30" s="94"/>
      <c r="D30" s="95"/>
      <c r="E30" s="10">
        <v>1702572.9851115753</v>
      </c>
      <c r="F30" s="11" t="s">
        <v>3</v>
      </c>
      <c r="G30" s="1"/>
    </row>
    <row r="31" spans="1:7" x14ac:dyDescent="0.25">
      <c r="A31" s="1"/>
      <c r="B31" s="40" t="s">
        <v>232</v>
      </c>
      <c r="C31" s="41"/>
      <c r="D31" s="41"/>
      <c r="E31" s="41"/>
      <c r="F31" s="20"/>
      <c r="G31" s="1"/>
    </row>
    <row r="32" spans="1:7" x14ac:dyDescent="0.25">
      <c r="A32" s="1"/>
      <c r="B32" s="80" t="s">
        <v>233</v>
      </c>
      <c r="C32" s="81"/>
      <c r="D32" s="82"/>
      <c r="E32" s="10">
        <v>0</v>
      </c>
      <c r="F32" s="11" t="s">
        <v>3</v>
      </c>
      <c r="G32" s="1"/>
    </row>
    <row r="33" spans="1:7" x14ac:dyDescent="0.25">
      <c r="A33" s="1"/>
      <c r="B33" s="40" t="s">
        <v>24</v>
      </c>
      <c r="C33" s="41"/>
      <c r="D33" s="41"/>
      <c r="E33" s="12">
        <f>SUM(E30,E26,E28,E22,E20,E32)</f>
        <v>25443061.117690772</v>
      </c>
      <c r="F33" s="13" t="s">
        <v>3</v>
      </c>
      <c r="G33" s="1"/>
    </row>
    <row r="34" spans="1:7" ht="28.15" customHeight="1" x14ac:dyDescent="0.25">
      <c r="A34" s="1"/>
      <c r="B34" s="87" t="s">
        <v>179</v>
      </c>
      <c r="C34" s="88"/>
      <c r="D34" s="88"/>
      <c r="E34" s="88"/>
      <c r="F34" s="89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ht="14.25" customHeight="1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  <row r="53" spans="1:7" x14ac:dyDescent="0.25">
      <c r="A53" s="1"/>
      <c r="B53" s="1"/>
      <c r="C53" s="1"/>
      <c r="D53" s="1"/>
      <c r="E53" s="1"/>
      <c r="F53" s="1"/>
      <c r="G53" s="1"/>
    </row>
  </sheetData>
  <sheetProtection algorithmName="SHA-512" hashValue="GfVv5A/jdIeKyA/elJoZd1t+8eaDp1eNpEaZvKELjV2XmynSzsiHS2VSbqGkWzXCrY8ZL9ItnumiJEwohWIg8g==" saltValue="quveyUDHgLMWmzmhSK0dKg==" spinCount="100000" sheet="1" objects="1" scenarios="1"/>
  <mergeCells count="23">
    <mergeCell ref="B34:F34"/>
    <mergeCell ref="B16:D16"/>
    <mergeCell ref="B17:D17"/>
    <mergeCell ref="B18:D18"/>
    <mergeCell ref="B19:D19"/>
    <mergeCell ref="B20:D20"/>
    <mergeCell ref="B32:D32"/>
    <mergeCell ref="B30:D30"/>
    <mergeCell ref="B23:D23"/>
    <mergeCell ref="B24:D24"/>
    <mergeCell ref="B25:D25"/>
    <mergeCell ref="B26:D26"/>
    <mergeCell ref="B28:D28"/>
    <mergeCell ref="B3:F4"/>
    <mergeCell ref="B9:D9"/>
    <mergeCell ref="B10:D10"/>
    <mergeCell ref="B11:D11"/>
    <mergeCell ref="B12:D12"/>
    <mergeCell ref="B13:D13"/>
    <mergeCell ref="B14:D14"/>
    <mergeCell ref="B15:D15"/>
    <mergeCell ref="B21:D21"/>
    <mergeCell ref="B22:D2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73" t="s">
        <v>138</v>
      </c>
      <c r="C1" s="73"/>
      <c r="D1" s="73"/>
      <c r="E1" s="73"/>
      <c r="F1" s="73"/>
      <c r="G1" s="73"/>
      <c r="H1" s="73"/>
      <c r="I1" s="1"/>
    </row>
    <row r="2" spans="1:9" ht="15" customHeight="1" x14ac:dyDescent="0.25">
      <c r="A2" s="1"/>
      <c r="B2" s="73"/>
      <c r="C2" s="73"/>
      <c r="D2" s="73"/>
      <c r="E2" s="73"/>
      <c r="F2" s="73"/>
      <c r="G2" s="73"/>
      <c r="H2" s="73"/>
      <c r="I2" s="1"/>
    </row>
    <row r="3" spans="1:9" ht="15" customHeight="1" x14ac:dyDescent="0.25">
      <c r="A3" s="1"/>
      <c r="B3" s="73"/>
      <c r="C3" s="73"/>
      <c r="D3" s="73"/>
      <c r="E3" s="73"/>
      <c r="F3" s="73"/>
      <c r="G3" s="73"/>
      <c r="H3" s="73"/>
      <c r="I3" s="1"/>
    </row>
    <row r="4" spans="1:9" x14ac:dyDescent="0.25">
      <c r="A4" s="1"/>
      <c r="B4" s="96" t="s">
        <v>64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53</v>
      </c>
      <c r="C5" s="100"/>
      <c r="D5" s="100"/>
      <c r="E5" s="100"/>
      <c r="F5" s="101"/>
      <c r="G5" s="24">
        <v>6266874.0174501445</v>
      </c>
      <c r="H5" s="14" t="s">
        <v>3</v>
      </c>
      <c r="I5" s="1"/>
    </row>
    <row r="6" spans="1:9" x14ac:dyDescent="0.25">
      <c r="A6" s="1"/>
      <c r="B6" s="99" t="s">
        <v>54</v>
      </c>
      <c r="C6" s="100"/>
      <c r="D6" s="100"/>
      <c r="E6" s="100"/>
      <c r="F6" s="101"/>
      <c r="G6" s="24">
        <f>G5*'Fane 12. Nøgletal'!C27</f>
        <v>125337.48034900289</v>
      </c>
      <c r="H6" s="14" t="s">
        <v>3</v>
      </c>
      <c r="I6" s="1"/>
    </row>
    <row r="7" spans="1:9" x14ac:dyDescent="0.2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65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55</v>
      </c>
      <c r="C10" s="100"/>
      <c r="D10" s="100"/>
      <c r="E10" s="100"/>
      <c r="F10" s="101"/>
      <c r="G10" s="24">
        <f>(G5-G6)*(1+'Fane 12. Nøgletal'!C9)</f>
        <v>6219534.0511223255</v>
      </c>
      <c r="H10" s="14" t="s">
        <v>3</v>
      </c>
      <c r="I10" s="1"/>
    </row>
    <row r="11" spans="1:9" x14ac:dyDescent="0.25">
      <c r="A11" s="1"/>
      <c r="B11" s="102" t="s">
        <v>56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57</v>
      </c>
      <c r="C12" s="100"/>
      <c r="D12" s="100"/>
      <c r="E12" s="100"/>
      <c r="F12" s="101"/>
      <c r="G12" s="24">
        <f>(G10+G11)*'Fane 12. Nøgletal'!C27</f>
        <v>124390.68102244652</v>
      </c>
      <c r="H12" s="14" t="s">
        <v>3</v>
      </c>
      <c r="I12" s="1"/>
    </row>
    <row r="13" spans="1:9" x14ac:dyDescent="0.2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66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58</v>
      </c>
      <c r="C16" s="100"/>
      <c r="D16" s="100"/>
      <c r="E16" s="100"/>
      <c r="F16" s="101"/>
      <c r="G16" s="24">
        <f>(G10-G12)*(1+'Fane 12. Nøgletal'!C11)</f>
        <v>6198151.2930545667</v>
      </c>
      <c r="H16" s="14" t="s">
        <v>3</v>
      </c>
      <c r="I16" s="1"/>
    </row>
    <row r="17" spans="1:9" x14ac:dyDescent="0.25">
      <c r="A17" s="1"/>
      <c r="B17" s="99" t="s">
        <v>148</v>
      </c>
      <c r="C17" s="100"/>
      <c r="D17" s="100"/>
      <c r="E17" s="100"/>
      <c r="F17" s="101"/>
      <c r="G17" s="24">
        <v>0</v>
      </c>
      <c r="H17" s="14" t="s">
        <v>3</v>
      </c>
      <c r="I17" s="1"/>
    </row>
    <row r="18" spans="1:9" x14ac:dyDescent="0.25">
      <c r="A18" s="1"/>
      <c r="B18" s="102" t="s">
        <v>59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25">
      <c r="A19" s="1"/>
      <c r="B19" s="99" t="s">
        <v>60</v>
      </c>
      <c r="C19" s="100"/>
      <c r="D19" s="100"/>
      <c r="E19" s="100"/>
      <c r="F19" s="101"/>
      <c r="G19" s="24">
        <f>SUM(G16:G18)*'Fane 12. Nøgletal'!C27</f>
        <v>123963.02586109133</v>
      </c>
      <c r="H19" s="14" t="s">
        <v>3</v>
      </c>
      <c r="I19" s="1"/>
    </row>
    <row r="20" spans="1:9" x14ac:dyDescent="0.2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67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61</v>
      </c>
      <c r="C23" s="100"/>
      <c r="D23" s="100"/>
      <c r="E23" s="100"/>
      <c r="F23" s="101"/>
      <c r="G23" s="24">
        <f>(SUM(G16:G18)-G19)*(1+'Fane 12. Nøgletal'!C11)</f>
        <v>6176842.0489090448</v>
      </c>
      <c r="H23" s="14" t="s">
        <v>3</v>
      </c>
      <c r="I23" s="1"/>
    </row>
    <row r="24" spans="1:9" x14ac:dyDescent="0.25">
      <c r="A24" s="1"/>
      <c r="B24" s="102" t="s">
        <v>62</v>
      </c>
      <c r="C24" s="103"/>
      <c r="D24" s="103"/>
      <c r="E24" s="103"/>
      <c r="F24" s="104"/>
      <c r="G24" s="24">
        <v>45393.173616088301</v>
      </c>
      <c r="H24" s="14" t="s">
        <v>3</v>
      </c>
      <c r="I24" s="1"/>
    </row>
    <row r="25" spans="1:9" x14ac:dyDescent="0.25">
      <c r="A25" s="1"/>
      <c r="B25" s="99" t="s">
        <v>63</v>
      </c>
      <c r="C25" s="100"/>
      <c r="D25" s="100"/>
      <c r="E25" s="100"/>
      <c r="F25" s="101"/>
      <c r="G25" s="24">
        <f>(G23+G24)*'Fane 12. Nøgletal'!C27</f>
        <v>124444.70445050266</v>
      </c>
      <c r="H25" s="14" t="s">
        <v>3</v>
      </c>
      <c r="I25" s="1"/>
    </row>
    <row r="26" spans="1:9" x14ac:dyDescent="0.2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222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70</v>
      </c>
      <c r="C29" s="100"/>
      <c r="D29" s="100"/>
      <c r="E29" s="100"/>
      <c r="F29" s="101"/>
      <c r="G29" s="24">
        <f>(G23+G24-G25)*(1+'Fane 12. Nøgletal'!C13)</f>
        <v>6172183.5623951405</v>
      </c>
      <c r="H29" s="14" t="s">
        <v>3</v>
      </c>
      <c r="I29" s="1"/>
    </row>
    <row r="30" spans="1:9" x14ac:dyDescent="0.25">
      <c r="A30" s="1"/>
      <c r="B30" s="99" t="s">
        <v>187</v>
      </c>
      <c r="C30" s="100"/>
      <c r="D30" s="100"/>
      <c r="E30" s="100"/>
      <c r="F30" s="101"/>
      <c r="G30" s="24">
        <f>SUM('Fane 2.1. Økonomisk ramme 2021'!C10,'Fane 2.1. Økonomisk ramme 2021'!C12,'Fane 2.1. Økonomisk ramme 2021'!C14)*(1+'Fane 12. Nøgletal'!C13)</f>
        <v>4803.0849619199998</v>
      </c>
      <c r="H30" s="14" t="s">
        <v>3</v>
      </c>
      <c r="I30" s="1"/>
    </row>
    <row r="31" spans="1:9" x14ac:dyDescent="0.25">
      <c r="A31" s="1"/>
      <c r="B31" s="99" t="s">
        <v>199</v>
      </c>
      <c r="C31" s="100"/>
      <c r="D31" s="100"/>
      <c r="E31" s="100"/>
      <c r="F31" s="101"/>
      <c r="G31" s="24">
        <f>(G29+G30)*'Fane 12. Nøgletal'!C27</f>
        <v>123539.73294714121</v>
      </c>
      <c r="H31" s="14" t="s">
        <v>3</v>
      </c>
      <c r="I31" s="1"/>
    </row>
    <row r="32" spans="1:9" x14ac:dyDescent="0.2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223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90</v>
      </c>
      <c r="C35" s="100"/>
      <c r="D35" s="100"/>
      <c r="E35" s="100"/>
      <c r="F35" s="101"/>
      <c r="G35" s="24">
        <f>(G29+G30-G31)*(1+'Fane 12. Nøgletal'!C13)</f>
        <v>6127298.9667657204</v>
      </c>
      <c r="H35" s="14" t="s">
        <v>3</v>
      </c>
      <c r="I35" s="1"/>
    </row>
    <row r="36" spans="1:9" x14ac:dyDescent="0.25">
      <c r="A36" s="1"/>
      <c r="B36" s="99" t="s">
        <v>102</v>
      </c>
      <c r="C36" s="100"/>
      <c r="D36" s="100"/>
      <c r="E36" s="100"/>
      <c r="F36" s="101"/>
      <c r="G36" s="24">
        <f>-'Fane 11. Bortfald'!C19*(1+'Fane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224</v>
      </c>
      <c r="C37" s="100"/>
      <c r="D37" s="100"/>
      <c r="E37" s="100"/>
      <c r="F37" s="101"/>
      <c r="G37" s="24">
        <f>(G35+G36)*'Fane 12. Nøgletal'!C27</f>
        <v>122545.97933531441</v>
      </c>
      <c r="H37" s="14" t="s">
        <v>3</v>
      </c>
      <c r="I37" s="1"/>
    </row>
    <row r="38" spans="1:9" x14ac:dyDescent="0.2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91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89</v>
      </c>
      <c r="C41" s="100"/>
      <c r="D41" s="100"/>
      <c r="E41" s="100"/>
      <c r="F41" s="101"/>
      <c r="G41" s="24">
        <f>(G35+G36-G37)*(1+'Fane 12. Nøgletal'!C13)</f>
        <v>6078010.9738770565</v>
      </c>
      <c r="H41" s="14" t="s">
        <v>3</v>
      </c>
      <c r="I41" s="1"/>
    </row>
    <row r="42" spans="1:9" x14ac:dyDescent="0.25">
      <c r="A42" s="1"/>
      <c r="B42" s="99" t="s">
        <v>103</v>
      </c>
      <c r="C42" s="100"/>
      <c r="D42" s="100"/>
      <c r="E42" s="100"/>
      <c r="F42" s="101"/>
      <c r="G42" s="24">
        <f>-'Fane 11. Bortfald'!C26*(1+'Fane 12. Nøgletal'!C13)</f>
        <v>0</v>
      </c>
      <c r="H42" s="14" t="s">
        <v>3</v>
      </c>
      <c r="I42" s="1"/>
    </row>
    <row r="43" spans="1:9" x14ac:dyDescent="0.25">
      <c r="A43" s="1"/>
      <c r="B43" s="99" t="s">
        <v>71</v>
      </c>
      <c r="C43" s="100"/>
      <c r="D43" s="100"/>
      <c r="E43" s="100"/>
      <c r="F43" s="101"/>
      <c r="G43" s="24">
        <f>(G41+G42)*'Fane 12. Nøgletal'!C27</f>
        <v>121560.21947754113</v>
      </c>
      <c r="H43" s="14" t="s">
        <v>3</v>
      </c>
      <c r="I43" s="1"/>
    </row>
    <row r="44" spans="1:9" x14ac:dyDescent="0.2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188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189</v>
      </c>
      <c r="C47" s="100"/>
      <c r="D47" s="100"/>
      <c r="E47" s="100"/>
      <c r="F47" s="101"/>
      <c r="G47" s="24">
        <f>(G41+G42-G43)*(1+'Fane 12. Nøgletal'!C13)</f>
        <v>6029119.4536031894</v>
      </c>
      <c r="H47" s="14" t="s">
        <v>3</v>
      </c>
      <c r="I47" s="1"/>
    </row>
    <row r="48" spans="1:9" x14ac:dyDescent="0.25">
      <c r="A48" s="1"/>
      <c r="B48" s="99" t="s">
        <v>190</v>
      </c>
      <c r="C48" s="100"/>
      <c r="D48" s="100"/>
      <c r="E48" s="100"/>
      <c r="F48" s="101"/>
      <c r="G48" s="24">
        <f>-'Fane 11. Bortfald'!C33*(1+'Fane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191</v>
      </c>
      <c r="C49" s="100"/>
      <c r="D49" s="100"/>
      <c r="E49" s="100"/>
      <c r="F49" s="101"/>
      <c r="G49" s="24">
        <f>(G47+G48)*'Fane 12. Nøgletal'!C27</f>
        <v>120582.38907206379</v>
      </c>
      <c r="H49" s="14" t="s">
        <v>3</v>
      </c>
      <c r="I49" s="1"/>
    </row>
    <row r="50" spans="1:9" x14ac:dyDescent="0.2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D5SALN1ZnY97Y5Z2Lo02Kmjnh0tAgDPu3VvXu2GGol6zSlbweNbpaHEQaBPEIIj5kAkdxHJ9R40ob0yEDCInQg==" saltValue="hA7i46PKqQ52abyDIB0ROg==" spinCount="100000" sheet="1" objects="1" scenarios="1"/>
  <mergeCells count="33">
    <mergeCell ref="B46:H46"/>
    <mergeCell ref="B47:F47"/>
    <mergeCell ref="B48:F48"/>
    <mergeCell ref="B49:F49"/>
    <mergeCell ref="B1:H3"/>
    <mergeCell ref="B4:H4"/>
    <mergeCell ref="B5:F5"/>
    <mergeCell ref="B6:F6"/>
    <mergeCell ref="B10:F10"/>
    <mergeCell ref="B9:H9"/>
    <mergeCell ref="B40:H40"/>
    <mergeCell ref="B41:F41"/>
    <mergeCell ref="B43:F43"/>
    <mergeCell ref="B36:F36"/>
    <mergeCell ref="B42:F42"/>
    <mergeCell ref="B15:H15"/>
    <mergeCell ref="B11:F11"/>
    <mergeCell ref="B12:F12"/>
    <mergeCell ref="B16:F16"/>
    <mergeCell ref="B18:F18"/>
    <mergeCell ref="B17:F17"/>
    <mergeCell ref="B28:H28"/>
    <mergeCell ref="B29:F29"/>
    <mergeCell ref="B34:H34"/>
    <mergeCell ref="B37:F37"/>
    <mergeCell ref="B19:F19"/>
    <mergeCell ref="B23:F23"/>
    <mergeCell ref="B24:F24"/>
    <mergeCell ref="B25:F25"/>
    <mergeCell ref="B35:F35"/>
    <mergeCell ref="B30:F30"/>
    <mergeCell ref="B31:F31"/>
    <mergeCell ref="B22:H2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ht="19.899999999999999" customHeight="1" x14ac:dyDescent="0.35">
      <c r="A2" s="1"/>
      <c r="B2" s="105" t="s">
        <v>139</v>
      </c>
      <c r="C2" s="105"/>
      <c r="D2" s="105"/>
      <c r="E2" s="105"/>
      <c r="F2" s="105"/>
      <c r="G2" s="105"/>
      <c r="H2" s="105"/>
      <c r="I2" s="1"/>
    </row>
    <row r="3" spans="1:9" ht="15" customHeight="1" x14ac:dyDescent="0.3">
      <c r="A3" s="1"/>
      <c r="B3" s="30"/>
      <c r="C3" s="30"/>
      <c r="D3" s="30"/>
      <c r="E3" s="30"/>
      <c r="F3" s="30"/>
      <c r="G3" s="30"/>
      <c r="H3" s="30"/>
      <c r="I3" s="1"/>
    </row>
    <row r="4" spans="1:9" x14ac:dyDescent="0.25">
      <c r="A4" s="1"/>
      <c r="B4" s="96" t="s">
        <v>68</v>
      </c>
      <c r="C4" s="97"/>
      <c r="D4" s="97"/>
      <c r="E4" s="97"/>
      <c r="F4" s="97"/>
      <c r="G4" s="97"/>
      <c r="H4" s="98"/>
      <c r="I4" s="1"/>
    </row>
    <row r="5" spans="1:9" x14ac:dyDescent="0.25">
      <c r="A5" s="1"/>
      <c r="B5" s="99" t="s">
        <v>72</v>
      </c>
      <c r="C5" s="100"/>
      <c r="D5" s="100"/>
      <c r="E5" s="100"/>
      <c r="F5" s="101"/>
      <c r="G5" s="24">
        <v>4604939.6396521218</v>
      </c>
      <c r="H5" s="14" t="s">
        <v>3</v>
      </c>
      <c r="I5" s="1"/>
    </row>
    <row r="6" spans="1:9" x14ac:dyDescent="0.25">
      <c r="A6" s="1"/>
      <c r="B6" s="99" t="s">
        <v>69</v>
      </c>
      <c r="C6" s="100"/>
      <c r="D6" s="100"/>
      <c r="E6" s="100"/>
      <c r="F6" s="101"/>
      <c r="G6" s="24">
        <f>G5*'Fane 12. Nøgletal'!C18</f>
        <v>41904.950720834313</v>
      </c>
      <c r="H6" s="14" t="s">
        <v>3</v>
      </c>
      <c r="I6" s="1"/>
    </row>
    <row r="7" spans="1:9" x14ac:dyDescent="0.25">
      <c r="A7" s="1"/>
      <c r="B7" s="40"/>
      <c r="C7" s="41"/>
      <c r="D7" s="41"/>
      <c r="E7" s="41"/>
      <c r="F7" s="41"/>
      <c r="G7" s="41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6" t="s">
        <v>73</v>
      </c>
      <c r="C9" s="97"/>
      <c r="D9" s="97"/>
      <c r="E9" s="97"/>
      <c r="F9" s="97"/>
      <c r="G9" s="97"/>
      <c r="H9" s="98"/>
      <c r="I9" s="1"/>
    </row>
    <row r="10" spans="1:9" x14ac:dyDescent="0.25">
      <c r="A10" s="1"/>
      <c r="B10" s="99" t="s">
        <v>74</v>
      </c>
      <c r="C10" s="100"/>
      <c r="D10" s="100"/>
      <c r="E10" s="100"/>
      <c r="F10" s="101"/>
      <c r="G10" s="24">
        <f>(G5-G6)*(1+'Fane 12. Nøgletal'!C9)</f>
        <v>4620985.2294807145</v>
      </c>
      <c r="H10" s="14" t="s">
        <v>3</v>
      </c>
      <c r="I10" s="1"/>
    </row>
    <row r="11" spans="1:9" x14ac:dyDescent="0.25">
      <c r="A11" s="1"/>
      <c r="B11" s="102" t="s">
        <v>75</v>
      </c>
      <c r="C11" s="103"/>
      <c r="D11" s="103"/>
      <c r="E11" s="103"/>
      <c r="F11" s="104"/>
      <c r="G11" s="24">
        <v>0</v>
      </c>
      <c r="H11" s="14" t="s">
        <v>3</v>
      </c>
      <c r="I11" s="1"/>
    </row>
    <row r="12" spans="1:9" x14ac:dyDescent="0.25">
      <c r="A12" s="1"/>
      <c r="B12" s="99" t="s">
        <v>76</v>
      </c>
      <c r="C12" s="100"/>
      <c r="D12" s="100"/>
      <c r="E12" s="100"/>
      <c r="F12" s="101"/>
      <c r="G12" s="24">
        <f>G10*'Fane 12. Nøgletal'!C18+G11*'Fane 12. Nøgletal'!C19</f>
        <v>42050.965588274506</v>
      </c>
      <c r="H12" s="14" t="s">
        <v>3</v>
      </c>
      <c r="I12" s="1"/>
    </row>
    <row r="13" spans="1:9" x14ac:dyDescent="0.25">
      <c r="A13" s="1"/>
      <c r="B13" s="40"/>
      <c r="C13" s="41"/>
      <c r="D13" s="41"/>
      <c r="E13" s="41"/>
      <c r="F13" s="41"/>
      <c r="G13" s="41"/>
      <c r="H13" s="20"/>
      <c r="I13" s="1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96" t="s">
        <v>77</v>
      </c>
      <c r="C15" s="97"/>
      <c r="D15" s="97"/>
      <c r="E15" s="97"/>
      <c r="F15" s="97"/>
      <c r="G15" s="97"/>
      <c r="H15" s="98"/>
      <c r="I15" s="1"/>
    </row>
    <row r="16" spans="1:9" x14ac:dyDescent="0.25">
      <c r="A16" s="1"/>
      <c r="B16" s="99" t="s">
        <v>78</v>
      </c>
      <c r="C16" s="100"/>
      <c r="D16" s="100"/>
      <c r="E16" s="100"/>
      <c r="F16" s="101"/>
      <c r="G16" s="24">
        <f>(G10+G11-G12)*(1+'Fane 12. Nøgletal'!C11)</f>
        <v>4656318.2529522218</v>
      </c>
      <c r="H16" s="14" t="s">
        <v>3</v>
      </c>
      <c r="I16" s="1"/>
    </row>
    <row r="17" spans="1:9" x14ac:dyDescent="0.25">
      <c r="A17" s="1"/>
      <c r="B17" s="99" t="s">
        <v>149</v>
      </c>
      <c r="C17" s="100"/>
      <c r="D17" s="100"/>
      <c r="E17" s="100"/>
      <c r="F17" s="101"/>
      <c r="G17" s="24">
        <v>30741.519619449693</v>
      </c>
      <c r="H17" s="14" t="s">
        <v>3</v>
      </c>
      <c r="I17" s="1"/>
    </row>
    <row r="18" spans="1:9" x14ac:dyDescent="0.25">
      <c r="A18" s="1"/>
      <c r="B18" s="102" t="s">
        <v>79</v>
      </c>
      <c r="C18" s="103"/>
      <c r="D18" s="103"/>
      <c r="E18" s="103"/>
      <c r="F18" s="104"/>
      <c r="G18" s="24">
        <v>0</v>
      </c>
      <c r="H18" s="14" t="s">
        <v>3</v>
      </c>
      <c r="I18" s="1"/>
    </row>
    <row r="19" spans="1:9" x14ac:dyDescent="0.25">
      <c r="A19" s="1"/>
      <c r="B19" s="99" t="s">
        <v>80</v>
      </c>
      <c r="C19" s="100"/>
      <c r="D19" s="100"/>
      <c r="E19" s="100"/>
      <c r="F19" s="101"/>
      <c r="G19" s="24">
        <f>SUM(G16:G18)*'Fane 12. Nøgletal'!C20</f>
        <v>40777.420021373538</v>
      </c>
      <c r="H19" s="14" t="s">
        <v>3</v>
      </c>
      <c r="I19" s="1"/>
    </row>
    <row r="20" spans="1:9" x14ac:dyDescent="0.25">
      <c r="A20" s="1"/>
      <c r="B20" s="40"/>
      <c r="C20" s="41"/>
      <c r="D20" s="41"/>
      <c r="E20" s="41"/>
      <c r="F20" s="41"/>
      <c r="G20" s="41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6" t="s">
        <v>81</v>
      </c>
      <c r="C22" s="97"/>
      <c r="D22" s="97"/>
      <c r="E22" s="97"/>
      <c r="F22" s="97"/>
      <c r="G22" s="97"/>
      <c r="H22" s="98"/>
      <c r="I22" s="1"/>
    </row>
    <row r="23" spans="1:9" x14ac:dyDescent="0.25">
      <c r="A23" s="1"/>
      <c r="B23" s="99" t="s">
        <v>82</v>
      </c>
      <c r="C23" s="100"/>
      <c r="D23" s="100"/>
      <c r="E23" s="100"/>
      <c r="F23" s="101"/>
      <c r="G23" s="24">
        <f>(SUM(G16:G18)-G19)*(1+'Fane 12. Nøgletal'!C11)</f>
        <v>4724804.5243083974</v>
      </c>
      <c r="H23" s="14" t="s">
        <v>3</v>
      </c>
      <c r="I23" s="1"/>
    </row>
    <row r="24" spans="1:9" x14ac:dyDescent="0.25">
      <c r="A24" s="1"/>
      <c r="B24" s="102" t="s">
        <v>83</v>
      </c>
      <c r="C24" s="103"/>
      <c r="D24" s="103"/>
      <c r="E24" s="103"/>
      <c r="F24" s="104"/>
      <c r="G24" s="24">
        <v>18034.227111613305</v>
      </c>
      <c r="H24" s="14" t="s">
        <v>3</v>
      </c>
      <c r="I24" s="1"/>
    </row>
    <row r="25" spans="1:9" x14ac:dyDescent="0.25">
      <c r="A25" s="1"/>
      <c r="B25" s="99" t="s">
        <v>84</v>
      </c>
      <c r="C25" s="100"/>
      <c r="D25" s="100"/>
      <c r="E25" s="100"/>
      <c r="F25" s="101"/>
      <c r="G25" s="24">
        <f>G23*'Fane 12. Nøgletal'!C20+G24*'Fane 12. Nøgletal'!C21</f>
        <v>41617.971411452876</v>
      </c>
      <c r="H25" s="14" t="s">
        <v>3</v>
      </c>
      <c r="I25" s="1"/>
    </row>
    <row r="26" spans="1:9" x14ac:dyDescent="0.25">
      <c r="A26" s="1"/>
      <c r="B26" s="40"/>
      <c r="C26" s="41"/>
      <c r="D26" s="41"/>
      <c r="E26" s="41"/>
      <c r="F26" s="41"/>
      <c r="G26" s="41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6" t="s">
        <v>220</v>
      </c>
      <c r="C28" s="97"/>
      <c r="D28" s="97"/>
      <c r="E28" s="97"/>
      <c r="F28" s="97"/>
      <c r="G28" s="97"/>
      <c r="H28" s="98"/>
      <c r="I28" s="1"/>
    </row>
    <row r="29" spans="1:9" x14ac:dyDescent="0.25">
      <c r="A29" s="1"/>
      <c r="B29" s="99" t="s">
        <v>85</v>
      </c>
      <c r="C29" s="100"/>
      <c r="D29" s="100"/>
      <c r="E29" s="100"/>
      <c r="F29" s="101"/>
      <c r="G29" s="24">
        <f>(G23+G24-G25)*(1+'Fane 12. Nøgletal'!C13)</f>
        <v>4758575.6735246629</v>
      </c>
      <c r="H29" s="14" t="s">
        <v>3</v>
      </c>
      <c r="I29" s="1"/>
    </row>
    <row r="30" spans="1:9" x14ac:dyDescent="0.25">
      <c r="A30" s="1"/>
      <c r="B30" s="99" t="s">
        <v>192</v>
      </c>
      <c r="C30" s="100"/>
      <c r="D30" s="100"/>
      <c r="E30" s="100"/>
      <c r="F30" s="101"/>
      <c r="G30" s="24">
        <f>SUM('Fane 2.1. Økonomisk ramme 2021'!C11,'Fane 2.1. Økonomisk ramme 2021'!C13,'Fane 2.1. Økonomisk ramme 2021'!C15)*(1+'Fane 12. Nøgletal'!C13)</f>
        <v>1868.77708416</v>
      </c>
      <c r="H30" s="14" t="s">
        <v>3</v>
      </c>
      <c r="I30" s="1"/>
    </row>
    <row r="31" spans="1:9" x14ac:dyDescent="0.25">
      <c r="A31" s="1"/>
      <c r="B31" s="99" t="s">
        <v>221</v>
      </c>
      <c r="C31" s="100"/>
      <c r="D31" s="100"/>
      <c r="E31" s="100"/>
      <c r="F31" s="101"/>
      <c r="G31" s="24">
        <f>(G29+G30)*'Fane 12. Nøgletal'!C22</f>
        <v>130912.22239174262</v>
      </c>
      <c r="H31" s="14" t="s">
        <v>3</v>
      </c>
      <c r="I31" s="1"/>
    </row>
    <row r="32" spans="1:9" x14ac:dyDescent="0.25">
      <c r="A32" s="1"/>
      <c r="B32" s="40"/>
      <c r="C32" s="41"/>
      <c r="D32" s="41"/>
      <c r="E32" s="41"/>
      <c r="F32" s="41"/>
      <c r="G32" s="41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6" t="s">
        <v>225</v>
      </c>
      <c r="C34" s="97"/>
      <c r="D34" s="97"/>
      <c r="E34" s="97"/>
      <c r="F34" s="97"/>
      <c r="G34" s="97"/>
      <c r="H34" s="98"/>
      <c r="I34" s="1"/>
    </row>
    <row r="35" spans="1:9" x14ac:dyDescent="0.25">
      <c r="A35" s="1"/>
      <c r="B35" s="99" t="s">
        <v>88</v>
      </c>
      <c r="C35" s="100"/>
      <c r="D35" s="100"/>
      <c r="E35" s="100"/>
      <c r="F35" s="101"/>
      <c r="G35" s="24">
        <f>(G29+G30-G31)*(1+'Fane 12. Nøgletal'!C13)</f>
        <v>4686012.521401329</v>
      </c>
      <c r="H35" s="14" t="s">
        <v>3</v>
      </c>
      <c r="I35" s="1"/>
    </row>
    <row r="36" spans="1:9" x14ac:dyDescent="0.25">
      <c r="A36" s="1"/>
      <c r="B36" s="99" t="s">
        <v>107</v>
      </c>
      <c r="C36" s="100"/>
      <c r="D36" s="100"/>
      <c r="E36" s="100"/>
      <c r="F36" s="101"/>
      <c r="G36" s="24">
        <f>-'Fane 11. Bortfald'!E19*(1+'Fane 12. Nøgletal'!C13)</f>
        <v>0</v>
      </c>
      <c r="H36" s="14" t="s">
        <v>3</v>
      </c>
      <c r="I36" s="1"/>
    </row>
    <row r="37" spans="1:9" x14ac:dyDescent="0.25">
      <c r="A37" s="1"/>
      <c r="B37" s="99" t="s">
        <v>226</v>
      </c>
      <c r="C37" s="100"/>
      <c r="D37" s="100"/>
      <c r="E37" s="100"/>
      <c r="F37" s="101"/>
      <c r="G37" s="24">
        <f>(G35+G36)*'Fane 12. Nøgletal'!C22</f>
        <v>128865.34433853655</v>
      </c>
      <c r="H37" s="14" t="s">
        <v>3</v>
      </c>
      <c r="I37" s="1"/>
    </row>
    <row r="38" spans="1:9" x14ac:dyDescent="0.25">
      <c r="A38" s="1"/>
      <c r="B38" s="40"/>
      <c r="C38" s="41"/>
      <c r="D38" s="41"/>
      <c r="E38" s="41"/>
      <c r="F38" s="41"/>
      <c r="G38" s="41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6" t="s">
        <v>92</v>
      </c>
      <c r="C40" s="97"/>
      <c r="D40" s="97"/>
      <c r="E40" s="97"/>
      <c r="F40" s="97"/>
      <c r="G40" s="97"/>
      <c r="H40" s="98"/>
      <c r="I40" s="1"/>
    </row>
    <row r="41" spans="1:9" x14ac:dyDescent="0.25">
      <c r="A41" s="1"/>
      <c r="B41" s="99" t="s">
        <v>87</v>
      </c>
      <c r="C41" s="100"/>
      <c r="D41" s="100"/>
      <c r="E41" s="100"/>
      <c r="F41" s="101"/>
      <c r="G41" s="24">
        <f>(G35+G36-G37)*(1+'Fane 12. Nøgletal'!C13)</f>
        <v>4612744.3726229584</v>
      </c>
      <c r="H41" s="14" t="s">
        <v>3</v>
      </c>
      <c r="I41" s="1"/>
    </row>
    <row r="42" spans="1:9" x14ac:dyDescent="0.25">
      <c r="A42" s="1"/>
      <c r="B42" s="99" t="s">
        <v>108</v>
      </c>
      <c r="C42" s="100"/>
      <c r="D42" s="100"/>
      <c r="E42" s="100"/>
      <c r="F42" s="101"/>
      <c r="G42" s="24">
        <f>-'Fane 11. Bortfald'!E26*(1+'Fane 12. Nøgletal'!C13)</f>
        <v>0</v>
      </c>
      <c r="H42" s="14" t="s">
        <v>3</v>
      </c>
      <c r="I42" s="1"/>
    </row>
    <row r="43" spans="1:9" x14ac:dyDescent="0.25">
      <c r="A43" s="1"/>
      <c r="B43" s="99" t="s">
        <v>86</v>
      </c>
      <c r="C43" s="100"/>
      <c r="D43" s="100"/>
      <c r="E43" s="100"/>
      <c r="F43" s="101"/>
      <c r="G43" s="24">
        <f>(G41+G42)*'Fane 12. Nøgletal'!C22</f>
        <v>126850.47024713135</v>
      </c>
      <c r="H43" s="14" t="s">
        <v>3</v>
      </c>
      <c r="I43" s="1"/>
    </row>
    <row r="44" spans="1:9" x14ac:dyDescent="0.25">
      <c r="A44" s="1"/>
      <c r="B44" s="40"/>
      <c r="C44" s="41"/>
      <c r="D44" s="41"/>
      <c r="E44" s="41"/>
      <c r="F44" s="41"/>
      <c r="G44" s="41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6" t="s">
        <v>193</v>
      </c>
      <c r="C46" s="97"/>
      <c r="D46" s="97"/>
      <c r="E46" s="97"/>
      <c r="F46" s="97"/>
      <c r="G46" s="97"/>
      <c r="H46" s="98"/>
      <c r="I46" s="1"/>
    </row>
    <row r="47" spans="1:9" x14ac:dyDescent="0.25">
      <c r="A47" s="1"/>
      <c r="B47" s="99" t="s">
        <v>194</v>
      </c>
      <c r="C47" s="100"/>
      <c r="D47" s="100"/>
      <c r="E47" s="100"/>
      <c r="F47" s="101"/>
      <c r="G47" s="24">
        <f>(G41+G42-G43)*(1+'Fane 12. Nøgletal'!C13)</f>
        <v>4540621.8079848113</v>
      </c>
      <c r="H47" s="14" t="s">
        <v>3</v>
      </c>
      <c r="I47" s="1"/>
    </row>
    <row r="48" spans="1:9" x14ac:dyDescent="0.25">
      <c r="A48" s="1"/>
      <c r="B48" s="99" t="s">
        <v>195</v>
      </c>
      <c r="C48" s="100"/>
      <c r="D48" s="100"/>
      <c r="E48" s="100"/>
      <c r="F48" s="101"/>
      <c r="G48" s="24">
        <f>-'Fane 11. Bortfald'!E33*(1+'Fane 12. Nøgletal'!C13)</f>
        <v>0</v>
      </c>
      <c r="H48" s="14" t="s">
        <v>3</v>
      </c>
      <c r="I48" s="1"/>
    </row>
    <row r="49" spans="1:9" x14ac:dyDescent="0.25">
      <c r="A49" s="1"/>
      <c r="B49" s="99" t="s">
        <v>196</v>
      </c>
      <c r="C49" s="100"/>
      <c r="D49" s="100"/>
      <c r="E49" s="100"/>
      <c r="F49" s="101"/>
      <c r="G49" s="24">
        <f>(G47+G48)*'Fane 12. Nøgletal'!C22</f>
        <v>124867.09971958231</v>
      </c>
      <c r="H49" s="14" t="s">
        <v>3</v>
      </c>
      <c r="I49" s="1"/>
    </row>
    <row r="50" spans="1:9" x14ac:dyDescent="0.25">
      <c r="A50" s="1"/>
      <c r="B50" s="40"/>
      <c r="C50" s="41"/>
      <c r="D50" s="41"/>
      <c r="E50" s="41"/>
      <c r="F50" s="41"/>
      <c r="G50" s="41"/>
      <c r="H50" s="20"/>
      <c r="I50" s="1"/>
    </row>
  </sheetData>
  <sheetProtection algorithmName="SHA-512" hashValue="GVD6np572eFqb5wpPFns+WrVnA+9bWkqpgVbeMkWpgIUm3jjruTeKqYjhsUB4znrPPDuSYGsfi1pixxAiGHDbg==" saltValue="1o3JsTsBMKp5HOz7o5/HQA==" spinCount="100000" sheet="1" objects="1" scenarios="1"/>
  <mergeCells count="33">
    <mergeCell ref="B28:H28"/>
    <mergeCell ref="B29:F29"/>
    <mergeCell ref="B31:F31"/>
    <mergeCell ref="B34:H34"/>
    <mergeCell ref="B22:H22"/>
    <mergeCell ref="B23:F23"/>
    <mergeCell ref="B24:F24"/>
    <mergeCell ref="B25:F25"/>
    <mergeCell ref="B46:H46"/>
    <mergeCell ref="B47:F47"/>
    <mergeCell ref="B48:F48"/>
    <mergeCell ref="B49:F49"/>
    <mergeCell ref="B36:F36"/>
    <mergeCell ref="B42:F42"/>
    <mergeCell ref="B41:F41"/>
    <mergeCell ref="B40:H40"/>
    <mergeCell ref="B37:F37"/>
    <mergeCell ref="B2:H2"/>
    <mergeCell ref="B35:F35"/>
    <mergeCell ref="B43:F43"/>
    <mergeCell ref="B19:F19"/>
    <mergeCell ref="B4:H4"/>
    <mergeCell ref="B5:F5"/>
    <mergeCell ref="B6:F6"/>
    <mergeCell ref="B9:H9"/>
    <mergeCell ref="B10:F10"/>
    <mergeCell ref="B11:F11"/>
    <mergeCell ref="B12:F12"/>
    <mergeCell ref="B15:H15"/>
    <mergeCell ref="B16:F16"/>
    <mergeCell ref="B18:F18"/>
    <mergeCell ref="B30:F30"/>
    <mergeCell ref="B17:F1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9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3" t="s">
        <v>101</v>
      </c>
      <c r="C3" s="73"/>
      <c r="D3" s="73"/>
      <c r="E3" s="73"/>
      <c r="F3" s="73"/>
      <c r="G3" s="73"/>
      <c r="H3" s="73"/>
      <c r="I3" s="1"/>
    </row>
    <row r="4" spans="1:9" ht="15" customHeight="1" x14ac:dyDescent="0.25">
      <c r="A4" s="1"/>
      <c r="B4" s="73"/>
      <c r="C4" s="73"/>
      <c r="D4" s="73"/>
      <c r="E4" s="73"/>
      <c r="F4" s="73"/>
      <c r="G4" s="73"/>
      <c r="H4" s="73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6" t="s">
        <v>9</v>
      </c>
      <c r="C8" s="97"/>
      <c r="D8" s="97"/>
      <c r="E8" s="97"/>
      <c r="F8" s="97"/>
      <c r="G8" s="97"/>
      <c r="H8" s="98"/>
      <c r="I8" s="1"/>
    </row>
    <row r="9" spans="1:9" x14ac:dyDescent="0.25">
      <c r="A9" s="1"/>
      <c r="B9" s="99" t="s">
        <v>124</v>
      </c>
      <c r="C9" s="100"/>
      <c r="D9" s="100"/>
      <c r="E9" s="100"/>
      <c r="F9" s="101"/>
      <c r="G9" s="23">
        <v>1.8375110108782941E-2</v>
      </c>
      <c r="H9" s="14"/>
      <c r="I9" s="1"/>
    </row>
    <row r="10" spans="1:9" x14ac:dyDescent="0.25">
      <c r="A10" s="1"/>
      <c r="B10" s="99" t="s">
        <v>181</v>
      </c>
      <c r="C10" s="100"/>
      <c r="D10" s="100"/>
      <c r="E10" s="100"/>
      <c r="F10" s="101"/>
      <c r="G10" s="23">
        <v>9.162918931977633E-3</v>
      </c>
      <c r="H10" s="14"/>
      <c r="I10" s="1"/>
    </row>
    <row r="11" spans="1:9" x14ac:dyDescent="0.25">
      <c r="A11" s="1"/>
      <c r="B11" s="40"/>
      <c r="C11" s="41"/>
      <c r="D11" s="41"/>
      <c r="E11" s="41"/>
      <c r="F11" s="41"/>
      <c r="G11" s="41"/>
      <c r="H11" s="20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ht="30.75" customHeight="1" x14ac:dyDescent="0.25">
      <c r="A13" s="18"/>
      <c r="B13" s="106" t="s">
        <v>227</v>
      </c>
      <c r="C13" s="106"/>
      <c r="D13" s="106"/>
      <c r="E13" s="106"/>
      <c r="F13" s="106"/>
      <c r="G13" s="106"/>
      <c r="H13" s="106"/>
      <c r="I13" s="18"/>
    </row>
    <row r="14" spans="1:9" x14ac:dyDescent="0.2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g9PdpMwEdbPx+rpJc3yaBhaNB5Dsl/aFPOABYRIvC6QmFHBRV6tsY9ThFwbHbupZCDYfv/P2khMBlt0ToySdqQ==" saltValue="lgk7M2YhTR+HbkStSJ899A==" spinCount="100000" sheet="1" objects="1" scenarios="1"/>
  <mergeCells count="5">
    <mergeCell ref="B3:H4"/>
    <mergeCell ref="B13:H13"/>
    <mergeCell ref="B9:F9"/>
    <mergeCell ref="B8:H8"/>
    <mergeCell ref="B10:F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Anlægsprojekter</vt:lpstr>
      <vt:lpstr>Fane 9.1. Varige tillæg</vt:lpstr>
      <vt:lpstr>Fane 9.2. Engangstillæg</vt:lpstr>
      <vt:lpstr>Fane 10. Tilknyttet virksomhed</vt:lpstr>
      <vt:lpstr>Fane 11. Bortfald</vt:lpstr>
      <vt:lpstr>Fane 12.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2021-09-15T08:44:27Z</dcterms:modified>
</cp:coreProperties>
</file>