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ive Vand AS (V16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C15" i="19" l="1"/>
  <c r="E31" i="32" l="1"/>
  <c r="E16" i="27" l="1"/>
  <c r="E15" i="11" l="1"/>
  <c r="E16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7" i="11"/>
  <c r="C10" i="37" s="1"/>
  <c r="C12" i="37" s="1"/>
  <c r="G17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7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<sst xmlns="http://schemas.openxmlformats.org/spreadsheetml/2006/main" count="610" uniqueCount="257">
  <si>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</si>
  <si>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</si>
  <si>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</si>
  <si>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</si>
  <si>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</si>
  <si>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</si>
  <si>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</si>
  <si>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</si>
  <si>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</si>
  <si>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</si>
  <si>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</si>
  <si>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</si>
  <si>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</si>
  <si>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</si>
  <si>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</si>
  <si>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</si>
  <si>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</si>
  <si>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</si>
  <si>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</si>
  <si>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</si>
  <si>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</si>
  <si>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</si>
  <si>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</si>
  <si>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</si>
  <si>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</si>
  <si>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</si>
  <si>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</si>
  <si>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</si>
  <si>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</si>
  <si>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</si>
  <si>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</si>
  <si>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</si>
  <si>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</si>
  <si>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</si>
  <si>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</si>
  <si>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</si>
  <si>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</si>
  <si>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</si>
  <si>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</si>
  <si>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</si>
  <si>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</si>
  <si>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</si>
  <si>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</si>
  <si>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</si>
  <si>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</si>
  <si>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</si>
  <si>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</si>
  <si>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</si>
  <si>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</si>
  <si>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</si>
  <si>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</si>
  <si>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</si>
  <si>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</si>
  <si>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</si>
  <si>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</si>
  <si>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</si>
  <si>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</si>
  <si>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</si>
  <si>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</si>
  <si>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</si>
  <si>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</si>
  <si>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</si>
  <si>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</si>
  <si>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</si>
  <si>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</si>
  <si>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</si>
  <si>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</si>
  <si>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</si>
  <si>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</si>
  <si>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</si>
  <si>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</si>
  <si>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</si>
  <si>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</si>
  <si>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</si>
  <si>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</si>
  <si>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</si>
  <si>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</si>
  <si>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</si>
  <si>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</si>
  <si>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</si>
  <si>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</si>
  <si>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</si>
  <si>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</si>
  <si>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</si>
  <si>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</si>
  <si>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</si>
  <si>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</si>
  <si>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</si>
  <si>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</si>
  <si>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</si>
  <si>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</si>
  <si>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</si>
  <si>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</si>
  <si>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</si>
  <si>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</si>
  <si>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</si>
  <si>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</si>
  <si>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</si>
  <si>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</si>
  <si>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</si>
  <si>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</si>
  <si>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</si>
  <si>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</si>
  <si>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</si>
  <si>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</si>
  <si>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</si>
  <si>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</si>
  <si>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</si>
  <si>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</si>
  <si>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</si>
  <si>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</si>
  <si>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</si>
  <si>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</si>
  <si>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</si>
  <si>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</si>
  <si>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</si>
  <si>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</si>
  <si>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</si>
  <si>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</si>
  <si>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</si>
  <si>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</si>
  <si>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</si>
  <si>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</si>
  <si>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</si>
  <si>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</si>
  <si>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</si>
  <si>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</si>
  <si>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</si>
  <si>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</si>
  <si>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</si>
  <si>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</si>
  <si>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</si>
  <si>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</si>
  <si>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</si>
  <si>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</si>
  <si>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</si>
  <si>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</si>
  <si>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</si>
  <si>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</si>
  <si>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</si>
  <si>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</si>
  <si>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</si>
  <si>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</si>
  <si>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</si>
  <si>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</si>
  <si>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</si>
  <si>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</si>
  <si>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</si>
  <si>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</si>
  <si>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</si>
  <si>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</si>
  <si>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</si>
  <si>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</si>
  <si>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</si>
  <si>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</si>
  <si>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</si>
  <si>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</si>
  <si>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</si>
  <si>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</si>
  <si>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</si>
  <si>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</si>
  <si>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</si>
  <si>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</si>
  <si>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</si>
  <si>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</si>
  <si>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</si>
  <si>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</si>
  <si>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</si>
  <si>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</si>
  <si>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</si>
  <si>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</si>
  <si>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</si>
  <si>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</si>
  <si>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</si>
  <si>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</si>
  <si>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</si>
  <si>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</si>
  <si>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</si>
  <si>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</si>
  <si>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</si>
  <si>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</si>
  <si>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</si>
  <si>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</si>
  <si>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</si>
  <si>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</si>
  <si>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</si>
  <si>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</si>
  <si>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</si>
  <si>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</si>
  <si>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</si>
  <si>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</si>
  <si>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</si>
  <si>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</si>
  <si>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</si>
  <si>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</si>
  <si>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</si>
  <si>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</si>
  <si>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</si>
  <si>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</si>
  <si>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</si>
  <si>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</si>
  <si>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</si>
  <si>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</si>
  <si>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</si>
  <si>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</si>
  <si>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</si>
  <si>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</si>
  <si>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</si>
  <si>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</si>
  <si>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</si>
  <si>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</si>
  <si>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</si>
  <si>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</si>
  <si>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</si>
  <si>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</si>
  <si>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</si>
  <si>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</si>
  <si>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</si>
  <si>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</si>
  <si>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</si>
  <si>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</si>
  <si>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</si>
  <si>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</si>
  <si>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</si>
  <si>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</si>
  <si>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</si>
  <si>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</si>
  <si>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</si>
  <si>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</si>
  <si>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</si>
  <si>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</si>
  <si>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</si>
  <si>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</si>
  <si>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</si>
  <si>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</si>
  <si>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</si>
  <si>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</si>
  <si>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</si>
  <si>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Erstatninger</t>
  </si>
  <si>
    <t>Ingen tilknyttet virksomhed</t>
  </si>
  <si>
    <t>Ingen bortfald eller nedsættelse</t>
  </si>
  <si>
    <t xml:space="preserve">Udvidelse af forsyningsområde </t>
  </si>
  <si>
    <t>Ingen engangstillæg</t>
  </si>
  <si>
    <t>Økonomisk ramme for 2024</t>
  </si>
  <si>
    <t>Etageareal vandbehandlingsbygning</t>
  </si>
  <si>
    <t>75</t>
  </si>
  <si>
    <t>Rentvandsbeholder  insitu støbt</t>
  </si>
  <si>
    <t>50</t>
  </si>
  <si>
    <t>Filteranlæg, trykfiltre, enkelt filtrering</t>
  </si>
  <si>
    <t>25</t>
  </si>
  <si>
    <t>Udpumpningsanlæg, rentvandspumper på vandværk</t>
  </si>
  <si>
    <t>Elanlæg - vandværk</t>
  </si>
  <si>
    <t>SRO-anlæg, vandværk</t>
  </si>
  <si>
    <t>10</t>
  </si>
  <si>
    <t>Ø 250 mm &lt; Ledningsnet ≤ Ø 500mm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</si>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</sst>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1" t="s">
        <v>234</v>
      </c>
      <c r="C10" s="9">
        <v>16354000</v>
      </c>
      <c r="D10" s="14" t="s">
        <v>3</v>
      </c>
      <c r="E10" s="1"/>
      <c r="F10" s="1"/>
    </row>
    <row r="11" spans="1:6" ht="15" customHeight="1" x14ac:dyDescent="0.45">
      <c r="A11" s="1"/>
      <c r="B11" s="51" t="s">
        <v>235</v>
      </c>
      <c r="C11" s="9">
        <v>69065</v>
      </c>
      <c r="D11" s="14" t="s">
        <v>3</v>
      </c>
      <c r="E11" s="1"/>
      <c r="F11" s="1"/>
    </row>
    <row r="12" spans="1:6" x14ac:dyDescent="0.45">
      <c r="A12" s="1"/>
      <c r="B12" s="51" t="s">
        <v>236</v>
      </c>
      <c r="C12" s="9">
        <v>19796</v>
      </c>
      <c r="D12" s="14" t="s">
        <v>3</v>
      </c>
      <c r="E12" s="1"/>
      <c r="F12" s="1"/>
    </row>
    <row r="13" spans="1:6" x14ac:dyDescent="0.45">
      <c r="A13" s="1"/>
      <c r="B13" s="51" t="s">
        <v>237</v>
      </c>
      <c r="C13" s="9">
        <v>3814</v>
      </c>
      <c r="D13" s="14" t="s">
        <v>3</v>
      </c>
      <c r="E13" s="1"/>
      <c r="F13" s="1"/>
    </row>
    <row r="14" spans="1:6" x14ac:dyDescent="0.45">
      <c r="A14" s="1"/>
      <c r="B14" s="51" t="s">
        <v>238</v>
      </c>
      <c r="C14" s="9">
        <v>161407</v>
      </c>
      <c r="D14" s="14" t="s">
        <v>3</v>
      </c>
      <c r="E14" s="1"/>
      <c r="F14" s="1"/>
    </row>
    <row r="15" spans="1:6" x14ac:dyDescent="0.45">
      <c r="A15" s="1"/>
      <c r="B15" s="48" t="s">
        <v>169</v>
      </c>
      <c r="C15" s="12">
        <f>SUM(C10:C14)</f>
        <v>16608082</v>
      </c>
      <c r="D15" s="13" t="s">
        <v>3</v>
      </c>
      <c r="E15" s="1"/>
      <c r="F15" s="1"/>
    </row>
    <row r="16" spans="1:6" x14ac:dyDescent="0.45">
      <c r="A16" s="1"/>
      <c r="B16" s="48" t="s">
        <v>170</v>
      </c>
      <c r="C16" s="12">
        <f>C15*(1+'Fane 12. Nøgletal'!C13)^2</f>
        <v>17015791.147724882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-495398.02094999998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1986882.0483762026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1491484.0274262025</v>
      </c>
      <c r="F7" s="17" t="s">
        <v>3</v>
      </c>
      <c r="G7" s="1"/>
    </row>
    <row r="8" spans="1:7" ht="15" customHeight="1" x14ac:dyDescent="0.45">
      <c r="A8" s="1"/>
      <c r="B8" s="48"/>
      <c r="C8" s="49"/>
      <c r="D8" s="49"/>
      <c r="E8" s="49"/>
      <c r="F8" s="20"/>
      <c r="G8" s="1"/>
    </row>
    <row r="9" spans="1:7" ht="28.5" customHeight="1" x14ac:dyDescent="0.4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43923277.414224245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39056104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4867173.4142242447</v>
      </c>
      <c r="F15" s="17" t="s">
        <v>3</v>
      </c>
      <c r="G15" s="1"/>
    </row>
    <row r="16" spans="1:7" x14ac:dyDescent="0.45">
      <c r="A16" s="1"/>
      <c r="B16" s="48"/>
      <c r="C16" s="49"/>
      <c r="D16" s="49"/>
      <c r="E16" s="49"/>
      <c r="F16" s="20"/>
      <c r="G16" s="1"/>
    </row>
    <row r="17" spans="1:7" ht="30" customHeight="1" x14ac:dyDescent="0.4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37967506.135218769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39432418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75996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-1388915.8647812307</v>
      </c>
      <c r="F23" s="17" t="s">
        <v>3</v>
      </c>
      <c r="G23" s="1"/>
    </row>
    <row r="24" spans="1:7" x14ac:dyDescent="0.45">
      <c r="A24" s="1"/>
      <c r="B24" s="48"/>
      <c r="C24" s="49"/>
      <c r="D24" s="49"/>
      <c r="E24" s="49"/>
      <c r="F24" s="20"/>
      <c r="G24" s="1"/>
    </row>
    <row r="25" spans="1:7" ht="28.5" customHeight="1" x14ac:dyDescent="0.4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40295731.590097383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41175000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44000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-835268.40990261734</v>
      </c>
      <c r="F31" s="17" t="s">
        <v>3</v>
      </c>
      <c r="G31" s="1"/>
    </row>
    <row r="32" spans="1:7" x14ac:dyDescent="0.45">
      <c r="A32" s="1"/>
      <c r="B32" s="48"/>
      <c r="C32" s="49"/>
      <c r="D32" s="49"/>
      <c r="E32" s="49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255</v>
      </c>
      <c r="C35" s="110"/>
      <c r="D35" s="111"/>
      <c r="E35" s="9">
        <v>1</v>
      </c>
      <c r="F35" s="14"/>
      <c r="G35" s="1"/>
    </row>
    <row r="36" spans="1:7" x14ac:dyDescent="0.45">
      <c r="A36" s="1"/>
      <c r="B36" s="109" t="s">
        <v>256</v>
      </c>
      <c r="C36" s="110"/>
      <c r="D36" s="111"/>
      <c r="E36" s="9">
        <v>0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6anKLE3QMI0YvQ0rJGrmzy4QU7i0rHr7Tt+EENBeVxqhA89QvKelP6tcsZuUcXxARVr8DXbhKx/JkeQB85U2dw==" saltValue="f2bti7saUmgbtGiNqKev/g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26.65" x14ac:dyDescent="0.45">
      <c r="A10" s="1"/>
      <c r="B10" s="39" t="s">
        <v>244</v>
      </c>
      <c r="C10" s="40" t="s">
        <v>245</v>
      </c>
      <c r="D10" s="9">
        <v>4732401</v>
      </c>
      <c r="E10" s="9">
        <f>IFERROR(D10/C10,0)</f>
        <v>63098.68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39" t="s">
        <v>246</v>
      </c>
      <c r="C11" s="40" t="s">
        <v>247</v>
      </c>
      <c r="D11" s="9">
        <v>3680756.4</v>
      </c>
      <c r="E11" s="9">
        <f t="shared" ref="E11:E14" si="0">IFERROR(D11/C11,0)</f>
        <v>73615.127999999997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39" t="s">
        <v>248</v>
      </c>
      <c r="C12" s="40" t="s">
        <v>249</v>
      </c>
      <c r="D12" s="9">
        <v>5433497.54</v>
      </c>
      <c r="E12" s="9">
        <f t="shared" si="0"/>
        <v>217339.90160000001</v>
      </c>
      <c r="F12" s="9">
        <v>0</v>
      </c>
      <c r="G12" s="9">
        <v>0</v>
      </c>
      <c r="H12" s="14" t="s">
        <v>3</v>
      </c>
      <c r="I12" s="1"/>
    </row>
    <row r="13" spans="1:9" ht="39.75" x14ac:dyDescent="0.45">
      <c r="A13" s="1"/>
      <c r="B13" s="39" t="s">
        <v>250</v>
      </c>
      <c r="C13" s="40" t="s">
        <v>249</v>
      </c>
      <c r="D13" s="9">
        <v>876370.57</v>
      </c>
      <c r="E13" s="9">
        <f t="shared" si="0"/>
        <v>35054.822799999994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39" t="s">
        <v>251</v>
      </c>
      <c r="C14" s="40" t="s">
        <v>249</v>
      </c>
      <c r="D14" s="9">
        <v>1928015.26</v>
      </c>
      <c r="E14" s="9">
        <f t="shared" si="0"/>
        <v>77120.610400000005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39" t="s">
        <v>252</v>
      </c>
      <c r="C15" s="40" t="s">
        <v>253</v>
      </c>
      <c r="D15" s="9">
        <v>876370.57</v>
      </c>
      <c r="E15" s="9">
        <f t="shared" ref="E15:E16" si="1">IFERROR(D15/C15,0)</f>
        <v>87637.057000000001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39" t="s">
        <v>254</v>
      </c>
      <c r="C16" s="40" t="s">
        <v>245</v>
      </c>
      <c r="D16" s="9">
        <v>1437059.41</v>
      </c>
      <c r="E16" s="9">
        <f t="shared" si="1"/>
        <v>19160.792133333332</v>
      </c>
      <c r="F16" s="9">
        <v>0</v>
      </c>
      <c r="G16" s="9">
        <v>0</v>
      </c>
      <c r="H16" s="14" t="s">
        <v>3</v>
      </c>
      <c r="I16" s="1"/>
    </row>
    <row r="17" spans="1:9" x14ac:dyDescent="0.45">
      <c r="A17" s="1"/>
      <c r="B17" s="95" t="s">
        <v>198</v>
      </c>
      <c r="C17" s="96"/>
      <c r="D17" s="97"/>
      <c r="E17" s="12">
        <f>SUM(E10:E16)</f>
        <v>573026.99193333334</v>
      </c>
      <c r="F17" s="12">
        <f t="shared" ref="F17:G17" si="2">SUM(F10:F16)</f>
        <v>0</v>
      </c>
      <c r="G17" s="12">
        <f t="shared" si="2"/>
        <v>0</v>
      </c>
      <c r="H17" s="13" t="s">
        <v>3</v>
      </c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Anlægsprojekter'!F17</f>
        <v>0</v>
      </c>
      <c r="D10" s="14" t="s">
        <v>3</v>
      </c>
      <c r="E10" s="9">
        <f>SUM('Fane 8. Anlægsprojekter'!E17,'Fane 8. Anlægsprojekter'!G17)</f>
        <v>573026.99193333334</v>
      </c>
      <c r="F10" s="14" t="s">
        <v>3</v>
      </c>
      <c r="G10" s="1"/>
    </row>
    <row r="11" spans="1:7" x14ac:dyDescent="0.45">
      <c r="A11" s="1"/>
      <c r="B11" s="41" t="s">
        <v>241</v>
      </c>
      <c r="C11" s="22">
        <v>0</v>
      </c>
      <c r="D11" s="14" t="s">
        <v>3</v>
      </c>
      <c r="E11" s="9">
        <v>12204</v>
      </c>
      <c r="F11" s="14" t="s">
        <v>3</v>
      </c>
      <c r="G11" s="1"/>
    </row>
    <row r="12" spans="1:7" x14ac:dyDescent="0.45">
      <c r="A12" s="1"/>
      <c r="B12" s="48" t="s">
        <v>48</v>
      </c>
      <c r="C12" s="12">
        <f>SUM(C10:C11)</f>
        <v>0</v>
      </c>
      <c r="D12" s="13" t="s">
        <v>3</v>
      </c>
      <c r="E12" s="12">
        <f>SUM(E10:E11)</f>
        <v>585230.99193333334</v>
      </c>
      <c r="F12" s="13" t="s">
        <v>3</v>
      </c>
      <c r="G12" s="1"/>
    </row>
    <row r="13" spans="1:7" x14ac:dyDescent="0.45">
      <c r="A13" s="1"/>
      <c r="B13" s="48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592370.81003492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9MCh+xvWwXPg8lbCSsYQRwgnxXgEykKufEbYcSbl0t47sT1b+IpH/SorJ5g4o/bxlrnJPlFWITZCbFGs9ePT8g==" saltValue="/3NWc4dblx4C6SdSPui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eAbfgW5ncrl0XxQbAizzjlLTwlke3Cg1EsqA5/3eK4xMc/DNuqbxiNfmM9POAbcSCI/2R9uDInA2dmR8Bc4MAg==" saltValue="ArESGCpUPRedV1I+ZerSN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51" t="s">
        <v>141</v>
      </c>
      <c r="C9" s="26">
        <v>1.2699999999999999E-2</v>
      </c>
      <c r="D9" s="1"/>
    </row>
    <row r="10" spans="1:4" x14ac:dyDescent="0.45">
      <c r="A10" s="1"/>
      <c r="B10" s="51" t="s">
        <v>22</v>
      </c>
      <c r="C10" s="26">
        <v>1.7500000000000002E-2</v>
      </c>
      <c r="D10" s="1"/>
    </row>
    <row r="11" spans="1:4" x14ac:dyDescent="0.45">
      <c r="A11" s="1"/>
      <c r="B11" s="51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8" t="s">
        <v>126</v>
      </c>
      <c r="C17" s="20"/>
      <c r="D17" s="1"/>
    </row>
    <row r="18" spans="1:4" x14ac:dyDescent="0.45">
      <c r="A18" s="1"/>
      <c r="B18" s="51" t="s">
        <v>143</v>
      </c>
      <c r="C18" s="23">
        <v>9.1000000000000004E-3</v>
      </c>
      <c r="D18" s="1"/>
    </row>
    <row r="19" spans="1:4" x14ac:dyDescent="0.45">
      <c r="A19" s="1"/>
      <c r="B19" s="51" t="s">
        <v>144</v>
      </c>
      <c r="C19" s="23">
        <v>1.77E-2</v>
      </c>
      <c r="D19" s="1"/>
    </row>
    <row r="20" spans="1:4" x14ac:dyDescent="0.45">
      <c r="A20" s="1"/>
      <c r="B20" s="51" t="s">
        <v>145</v>
      </c>
      <c r="C20" s="23">
        <v>8.6999999999999994E-3</v>
      </c>
      <c r="D20" s="1"/>
    </row>
    <row r="21" spans="1:4" x14ac:dyDescent="0.45">
      <c r="A21" s="1"/>
      <c r="B21" s="51" t="s">
        <v>146</v>
      </c>
      <c r="C21" s="36">
        <v>2.8400000000000002E-2</v>
      </c>
      <c r="D21" s="1"/>
    </row>
    <row r="22" spans="1:4" x14ac:dyDescent="0.45">
      <c r="A22" s="1"/>
      <c r="B22" s="51" t="s">
        <v>186</v>
      </c>
      <c r="C22" s="36">
        <v>2.75E-2</v>
      </c>
      <c r="D22" s="1"/>
    </row>
    <row r="23" spans="1:4" x14ac:dyDescent="0.45">
      <c r="A23" s="1"/>
      <c r="B23" s="4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8" t="s">
        <v>127</v>
      </c>
      <c r="C26" s="20"/>
      <c r="D26" s="1"/>
    </row>
    <row r="27" spans="1:4" x14ac:dyDescent="0.45">
      <c r="A27" s="1"/>
      <c r="B27" s="51" t="s">
        <v>147</v>
      </c>
      <c r="C27" s="26">
        <v>0.02</v>
      </c>
      <c r="D27" s="1"/>
    </row>
    <row r="28" spans="1:4" x14ac:dyDescent="0.45">
      <c r="A28" s="1"/>
      <c r="B28" s="4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0" t="s">
        <v>25</v>
      </c>
      <c r="C9" s="7">
        <f>'Fane 3. Omkostninger i ØR2020'!E20</f>
        <v>25802268.248150878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592370.81003492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322014.59650986677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-348962.39768928429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-206980.62578582458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-479604.30115374993</v>
      </c>
      <c r="D19" s="8" t="s">
        <v>3</v>
      </c>
      <c r="E19" s="1"/>
    </row>
    <row r="20" spans="1:5" ht="17.100000000000001" customHeight="1" x14ac:dyDescent="0.45">
      <c r="A20" s="1"/>
      <c r="B20" s="52" t="s">
        <v>20</v>
      </c>
      <c r="C20" s="10">
        <f>SUM(C9:C19)</f>
        <v>25681106.330066808</v>
      </c>
      <c r="D20" s="11" t="s">
        <v>3</v>
      </c>
      <c r="E20" s="1"/>
    </row>
    <row r="21" spans="1:5" ht="15" customHeight="1" x14ac:dyDescent="0.45">
      <c r="A21" s="1"/>
      <c r="B21" s="48" t="s">
        <v>12</v>
      </c>
      <c r="C21" s="49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omk.'!C16</f>
        <v>17015791.147724882</v>
      </c>
      <c r="D22" s="11" t="s">
        <v>3</v>
      </c>
      <c r="E22" s="1"/>
    </row>
    <row r="23" spans="1:5" ht="15" customHeight="1" x14ac:dyDescent="0.45">
      <c r="A23" s="1"/>
      <c r="B23" s="48" t="s">
        <v>99</v>
      </c>
      <c r="C23" s="49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9"/>
      <c r="D27" s="20"/>
      <c r="E27" s="1"/>
    </row>
    <row r="28" spans="1:5" x14ac:dyDescent="0.45">
      <c r="A28" s="1"/>
      <c r="B28" s="53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45">
      <c r="A29" s="1"/>
      <c r="B29" s="48" t="s">
        <v>31</v>
      </c>
      <c r="C29" s="32">
        <f>SUM(C20,C22,C26,C28)</f>
        <v>42696897.477791689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ht="15" customHeight="1" x14ac:dyDescent="0.45">
      <c r="A9" s="1"/>
      <c r="B9" s="50" t="s">
        <v>26</v>
      </c>
      <c r="C9" s="7">
        <f>'Fane 2.1. Økonomisk ramme 2021'!C20</f>
        <v>25681106.330066808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313309.49722681509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-339528.81191130576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-205315.6736320034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-472105.44810306048</v>
      </c>
      <c r="D15" s="8" t="s">
        <v>3</v>
      </c>
      <c r="E15" s="1"/>
    </row>
    <row r="16" spans="1:5" ht="15" customHeight="1" x14ac:dyDescent="0.45">
      <c r="A16" s="1"/>
      <c r="B16" s="43" t="s">
        <v>20</v>
      </c>
      <c r="C16" s="10">
        <f>SUM(C9:C15)</f>
        <v>24977465.893647254</v>
      </c>
      <c r="D16" s="11" t="s">
        <v>3</v>
      </c>
      <c r="E16" s="1"/>
    </row>
    <row r="17" spans="1:5" x14ac:dyDescent="0.45">
      <c r="A17" s="1"/>
      <c r="B17" s="48" t="s">
        <v>12</v>
      </c>
      <c r="C17" s="49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omk.'!C16*(1+'Fane 12. Nøgletal'!C13)</f>
        <v>17223383.799727127</v>
      </c>
      <c r="D18" s="11" t="s">
        <v>3</v>
      </c>
      <c r="E18" s="1"/>
    </row>
    <row r="19" spans="1:5" ht="15" customHeight="1" x14ac:dyDescent="0.45">
      <c r="A19" s="1"/>
      <c r="B19" s="48" t="s">
        <v>99</v>
      </c>
      <c r="C19" s="49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9"/>
      <c r="D23" s="20"/>
      <c r="E23" s="1"/>
    </row>
    <row r="24" spans="1:5" ht="15" customHeight="1" x14ac:dyDescent="0.45">
      <c r="A24" s="1"/>
      <c r="B24" s="53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45">
      <c r="A25" s="1"/>
      <c r="B25" s="48" t="s">
        <v>32</v>
      </c>
      <c r="C25" s="12">
        <f>SUM(C16,C18,C22,C24)</f>
        <v>42200849.69337438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0" t="s">
        <v>165</v>
      </c>
      <c r="C8" s="7">
        <f>'Fane 2.2. Økonomisk ramme 2022'!C16</f>
        <v>24977465.893647254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304725.0839024965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-330226.01170014124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-203664.11435330755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-464723.84336924506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24283577.008127056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Nøgletal'!C13)^2</f>
        <v>17433509.082083795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8" t="s">
        <v>109</v>
      </c>
      <c r="C22" s="12">
        <f>SUM(C15,C17,C21)</f>
        <v>41717086.090210855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0" t="s">
        <v>166</v>
      </c>
      <c r="C8" s="7">
        <f>'Fane 2.3. Økonomisk ramme 2023'!C15</f>
        <v>24283577.008127056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296259.6394991501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-321052.13632767322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-202025.84021744953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-457457.6537162452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23599301.017364841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Nøgletal'!C13)^3</f>
        <v>17646197.892885219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243</v>
      </c>
      <c r="C22" s="12">
        <f>SUM(C15,C17,C21)</f>
        <v>41245498.91025006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167</v>
      </c>
      <c r="C8" s="49"/>
      <c r="D8" s="49"/>
      <c r="E8" s="49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25857220.883747168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131644.78323480001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439580.43516505265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-268833.7751449194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-208659.07942068457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-148684.99943053836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25802268.248150878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9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15954910.850950832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9"/>
      <c r="F23" s="49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-2439482</v>
      </c>
      <c r="F28" s="11" t="s">
        <v>3</v>
      </c>
      <c r="G28" s="1"/>
    </row>
    <row r="29" spans="1:7" x14ac:dyDescent="0.4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745742.01371310127</v>
      </c>
      <c r="F30" s="11" t="s">
        <v>3</v>
      </c>
      <c r="G30" s="1"/>
    </row>
    <row r="31" spans="1:7" x14ac:dyDescent="0.45">
      <c r="A31" s="1"/>
      <c r="B31" s="48" t="s">
        <v>232</v>
      </c>
      <c r="C31" s="49"/>
      <c r="D31" s="49"/>
      <c r="E31" s="49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8" t="s">
        <v>24</v>
      </c>
      <c r="C33" s="49"/>
      <c r="D33" s="49"/>
      <c r="E33" s="12">
        <f>SUM(E30,E26,E28,E22,E20,E32)</f>
        <v>40063439.112814814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10585021.868557494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211700.43737114989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10505062.613362411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210101.25226724823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10468946.20809767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209378.92416195342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10432953.971034229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208659.07942068457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10349031.289291229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206980.62578582458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10265783.68160017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205315.6736320034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10183205.717665378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203664.11435330755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10101292.010872476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202025.84021744953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15608276.578450453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142035.31686389912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15662662.525608702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142530.22898303918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15782422.532438636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159157.50193456997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577419.96151106991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143715.2999641932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16652027.00728113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134238.18546452557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148684.99943053836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16840558.671673562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599597.73391734599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479604.30115374993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17167470.840111289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472105.44810306048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16899048.84979073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464723.84336924506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16634823.771499826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457457.6537162452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1.0172137026364166E-2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1.3061605775914656E-2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2020-10-20T08:13:48Z</dcterms:modified>
</cp:coreProperties>
</file>