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TÅRNBYFORSYNING Spildevand (S09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8" i="32" l="1"/>
  <c r="C32" i="2" s="1"/>
  <c r="E24" i="32" l="1"/>
  <c r="E32" i="32" s="1"/>
  <c r="E34" i="32" s="1"/>
  <c r="C20" i="23" l="1"/>
  <c r="C20" i="22"/>
  <c r="C20" i="15"/>
  <c r="C12"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3"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1" i="37" s="1"/>
  <c r="C12" i="37" l="1"/>
  <c r="C10" i="2" s="1"/>
  <c r="G44" i="30" s="1"/>
  <c r="G35" i="36"/>
  <c r="G37" i="36" l="1"/>
  <c r="E19" i="27" s="1"/>
  <c r="G41" i="36" l="1"/>
  <c r="G27" i="30"/>
  <c r="G31" i="30" l="1"/>
  <c r="E10" i="37"/>
  <c r="E11" i="37" s="1"/>
  <c r="G33" i="30" l="1"/>
  <c r="G37" i="30" s="1"/>
  <c r="G39" i="30" s="1"/>
  <c r="E12"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<sst xmlns="http://schemas.openxmlformats.org/spreadsheetml/2006/main" count="600" uniqueCount="286">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</sst>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tpxSHqw5ni4t6q364+tN5yijlkfg6D0buMa2JkxALEyg2o8SpYdXZ3MN95wa4ZbeOS8L/CGADABiwjgR6eD7g==" saltValue="dRIVQr0M42oABYT/3HTxG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1001233</v>
      </c>
      <c r="D10" s="14" t="s">
        <v>3</v>
      </c>
      <c r="E10" s="1"/>
      <c r="F10" s="1"/>
    </row>
    <row r="11" spans="1:6" x14ac:dyDescent="0.25">
      <c r="A11" s="1"/>
      <c r="B11" s="94" t="s">
        <v>266</v>
      </c>
      <c r="C11" s="9">
        <v>106902</v>
      </c>
      <c r="D11" s="14" t="s">
        <v>3</v>
      </c>
      <c r="E11" s="1"/>
      <c r="F11" s="1"/>
    </row>
    <row r="12" spans="1:6" x14ac:dyDescent="0.25">
      <c r="A12" s="1"/>
      <c r="B12" s="32" t="s">
        <v>200</v>
      </c>
      <c r="C12" s="12">
        <f>SUM(C10:C11)</f>
        <v>1108135</v>
      </c>
      <c r="D12" s="13" t="s">
        <v>3</v>
      </c>
      <c r="E12" s="1"/>
      <c r="F12" s="1"/>
    </row>
    <row r="13" spans="1:6" x14ac:dyDescent="0.25">
      <c r="A13" s="1"/>
      <c r="B13" s="32" t="s">
        <v>201</v>
      </c>
      <c r="C13" s="12">
        <f>C12*(1+'Fane 15. Nøgletal'!C15)^2</f>
        <v>1188438.6179736</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27" t="s">
        <v>117</v>
      </c>
      <c r="C16" s="128"/>
      <c r="D16" s="129"/>
      <c r="E16" s="1"/>
      <c r="F16" s="1"/>
    </row>
    <row r="17" spans="1:6" x14ac:dyDescent="0.25">
      <c r="A17" s="1"/>
      <c r="B17" s="94" t="s">
        <v>99</v>
      </c>
      <c r="C17" s="9">
        <v>1945869</v>
      </c>
      <c r="D17" s="14" t="s">
        <v>3</v>
      </c>
      <c r="E17" s="1"/>
      <c r="F17" s="1"/>
    </row>
    <row r="18" spans="1:6" x14ac:dyDescent="0.25">
      <c r="A18" s="1"/>
      <c r="B18" s="94" t="s">
        <v>129</v>
      </c>
      <c r="C18" s="9">
        <v>873950</v>
      </c>
      <c r="D18" s="14" t="s">
        <v>3</v>
      </c>
      <c r="E18" s="1"/>
      <c r="F18" s="1"/>
    </row>
    <row r="19" spans="1:6" x14ac:dyDescent="0.25">
      <c r="A19" s="1"/>
      <c r="B19" s="94" t="s">
        <v>155</v>
      </c>
      <c r="C19" s="9">
        <v>80850</v>
      </c>
      <c r="D19" s="14" t="s">
        <v>3</v>
      </c>
      <c r="E19" s="1"/>
      <c r="F19" s="1"/>
    </row>
    <row r="20" spans="1:6" x14ac:dyDescent="0.25">
      <c r="A20" s="1"/>
      <c r="B20" s="33" t="s">
        <v>202</v>
      </c>
      <c r="C20" s="9">
        <v>80850</v>
      </c>
      <c r="D20" s="40" t="s">
        <v>3</v>
      </c>
      <c r="E20" s="1"/>
      <c r="F20" s="1"/>
    </row>
    <row r="21" spans="1:6" x14ac:dyDescent="0.25">
      <c r="A21" s="1"/>
      <c r="B21" s="127"/>
      <c r="C21" s="128"/>
      <c r="D21" s="129"/>
      <c r="E21" s="1"/>
      <c r="F21" s="1"/>
    </row>
    <row r="22" spans="1:6" x14ac:dyDescent="0.25">
      <c r="A22" s="1"/>
      <c r="B22" s="1"/>
      <c r="C22" s="1"/>
      <c r="D22" s="1"/>
      <c r="E22" s="1"/>
      <c r="F22" s="1"/>
    </row>
    <row r="23" spans="1:6" x14ac:dyDescent="0.25">
      <c r="A23" s="1"/>
      <c r="B23" s="1"/>
      <c r="C23" s="1"/>
      <c r="D23" s="1"/>
      <c r="E23" s="1"/>
      <c r="F23" s="1"/>
    </row>
    <row r="24" spans="1:6" x14ac:dyDescent="0.25">
      <c r="A24" s="1"/>
      <c r="B24" s="127" t="s">
        <v>98</v>
      </c>
      <c r="C24" s="128"/>
      <c r="D24" s="129"/>
      <c r="E24" s="1"/>
      <c r="F24" s="1"/>
    </row>
    <row r="25" spans="1:6" x14ac:dyDescent="0.25">
      <c r="A25" s="1"/>
      <c r="B25" s="94" t="s">
        <v>99</v>
      </c>
      <c r="C25" s="9">
        <v>0</v>
      </c>
      <c r="D25" s="14" t="s">
        <v>3</v>
      </c>
      <c r="E25" s="1"/>
      <c r="F25" s="1"/>
    </row>
    <row r="26" spans="1:6" x14ac:dyDescent="0.25">
      <c r="A26" s="1"/>
      <c r="B26" s="94" t="s">
        <v>129</v>
      </c>
      <c r="C26" s="9">
        <v>0</v>
      </c>
      <c r="D26" s="14" t="s">
        <v>3</v>
      </c>
      <c r="E26" s="1"/>
      <c r="F26" s="1"/>
    </row>
    <row r="27" spans="1:6" x14ac:dyDescent="0.25">
      <c r="A27" s="1"/>
      <c r="B27" s="94" t="s">
        <v>155</v>
      </c>
      <c r="C27" s="9">
        <v>0</v>
      </c>
      <c r="D27" s="14" t="s">
        <v>3</v>
      </c>
      <c r="E27" s="1"/>
      <c r="F27" s="1"/>
    </row>
    <row r="28" spans="1:6" x14ac:dyDescent="0.25">
      <c r="A28" s="1"/>
      <c r="B28" s="33" t="s">
        <v>202</v>
      </c>
      <c r="C28" s="9">
        <v>0</v>
      </c>
      <c r="D28" s="40" t="s">
        <v>3</v>
      </c>
      <c r="E28" s="1"/>
      <c r="F28" s="1"/>
    </row>
    <row r="29" spans="1:6" x14ac:dyDescent="0.25">
      <c r="A29" s="1"/>
      <c r="B29" s="127"/>
      <c r="C29" s="128"/>
      <c r="D29" s="129"/>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sheetData>
  <sheetProtection algorithmName="SHA-512" hashValue="hVu/C+Npxd3V5stPDZWCacLhdqT80yFBiQUgSUVv3EV2UORXoX0ccoufLOe9/gaj4hfnAlSxzqXHNQ8galm9bg==" saltValue="iwCA1IUR25jiGlPjHpjtfQ==" spinCount="100000" sheet="1" objects="1" scenarios="1"/>
  <mergeCells count="6">
    <mergeCell ref="B29:D29"/>
    <mergeCell ref="B3:D4"/>
    <mergeCell ref="B8:D8"/>
    <mergeCell ref="B16:D16"/>
    <mergeCell ref="B24:D24"/>
    <mergeCell ref="B21:D2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4417829.4212540314</v>
      </c>
      <c r="F9" s="14" t="s">
        <v>3</v>
      </c>
      <c r="G9" s="1"/>
    </row>
    <row r="10" spans="1:7" x14ac:dyDescent="0.25">
      <c r="A10" s="1"/>
      <c r="B10" s="137" t="s">
        <v>263</v>
      </c>
      <c r="C10" s="138"/>
      <c r="D10" s="139"/>
      <c r="E10" s="9">
        <v>4417829.4212540314</v>
      </c>
      <c r="F10" s="14" t="s">
        <v>3</v>
      </c>
      <c r="G10" s="1"/>
    </row>
    <row r="11" spans="1:7" x14ac:dyDescent="0.25">
      <c r="A11" s="1"/>
      <c r="B11" s="32"/>
      <c r="C11" s="27"/>
      <c r="D11" s="27"/>
      <c r="E11" s="27"/>
      <c r="F11" s="19"/>
      <c r="G11" s="1"/>
    </row>
    <row r="12" spans="1:7" ht="81" customHeight="1" x14ac:dyDescent="0.25">
      <c r="A12" s="1"/>
      <c r="B12" s="130" t="s">
        <v>284</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278</v>
      </c>
      <c r="C15" s="138"/>
      <c r="D15" s="139"/>
      <c r="E15" s="9">
        <v>-367923</v>
      </c>
      <c r="F15" s="14" t="s">
        <v>3</v>
      </c>
      <c r="G15" s="1"/>
    </row>
    <row r="16" spans="1:7" x14ac:dyDescent="0.25">
      <c r="A16" s="1"/>
      <c r="B16" s="137" t="s">
        <v>279</v>
      </c>
      <c r="C16" s="138"/>
      <c r="D16" s="139"/>
      <c r="E16" s="9">
        <v>-367923</v>
      </c>
      <c r="F16" s="14" t="s">
        <v>3</v>
      </c>
      <c r="G16" s="1"/>
    </row>
    <row r="17" spans="1:7" x14ac:dyDescent="0.25">
      <c r="A17" s="1"/>
      <c r="B17" s="32"/>
      <c r="C17" s="27"/>
      <c r="D17" s="27"/>
      <c r="E17" s="27"/>
      <c r="F17" s="19"/>
      <c r="G17" s="1"/>
    </row>
    <row r="18" spans="1:7" ht="31.5" customHeight="1" x14ac:dyDescent="0.25">
      <c r="A18" s="1"/>
      <c r="B18" s="130" t="s">
        <v>285</v>
      </c>
      <c r="C18" s="131"/>
      <c r="D18" s="131"/>
      <c r="E18" s="131"/>
      <c r="F18" s="132"/>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52103554.93477276</v>
      </c>
      <c r="F21" s="14" t="s">
        <v>3</v>
      </c>
      <c r="G21" s="1"/>
    </row>
    <row r="22" spans="1:7" x14ac:dyDescent="0.25">
      <c r="A22" s="1"/>
      <c r="B22" s="91" t="s">
        <v>207</v>
      </c>
      <c r="C22" s="92"/>
      <c r="D22" s="93"/>
      <c r="E22" s="9">
        <v>58625308</v>
      </c>
      <c r="F22" s="14" t="s">
        <v>3</v>
      </c>
      <c r="G22" s="1"/>
    </row>
    <row r="23" spans="1:7" x14ac:dyDescent="0.25">
      <c r="A23" s="1"/>
      <c r="B23" s="91" t="s">
        <v>33</v>
      </c>
      <c r="C23" s="92"/>
      <c r="D23" s="93"/>
      <c r="E23" s="9">
        <v>0</v>
      </c>
      <c r="F23" s="14" t="s">
        <v>3</v>
      </c>
      <c r="G23" s="1"/>
    </row>
    <row r="24" spans="1:7" x14ac:dyDescent="0.25">
      <c r="A24" s="1"/>
      <c r="B24" s="88" t="s">
        <v>267</v>
      </c>
      <c r="C24" s="89"/>
      <c r="D24" s="96"/>
      <c r="E24" s="72">
        <f>E21-(E22-E23)</f>
        <v>-6521753.0652272403</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280</v>
      </c>
      <c r="C27" s="128"/>
      <c r="D27" s="128"/>
      <c r="E27" s="128"/>
      <c r="F27" s="129"/>
      <c r="G27" s="1"/>
    </row>
    <row r="28" spans="1:7" x14ac:dyDescent="0.25">
      <c r="A28" s="1"/>
      <c r="B28" s="133" t="s">
        <v>281</v>
      </c>
      <c r="C28" s="134"/>
      <c r="D28" s="158"/>
      <c r="E28" s="73">
        <f>E16</f>
        <v>-367923</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1" t="s">
        <v>143</v>
      </c>
      <c r="C32" s="152"/>
      <c r="D32" s="153"/>
      <c r="E32" s="74">
        <f>IF(AND(E9&gt;0,(E9+E24)&gt;0),0,IF(AND(E9&gt;0,(E9+E24)&lt;0),(E9+E24),IF(AND(E9&lt;0,E24&lt;0),E24,0)))</f>
        <v>-2103923.643973209</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-525980.91099330224</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tJ1UCyixxq763Rz7KNxdMIT8z8jtIs/eihQPM4e/pCoGrwxYLdyXzZjGlCXTHGuJJG/YmdTkwJuKNLwc2qN+MA==" saltValue="ruxSwiZb6+XNbDvvL+jjkg=="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269</v>
      </c>
      <c r="C10" s="160"/>
      <c r="D10" s="160"/>
      <c r="E10" s="160"/>
      <c r="F10" s="161"/>
      <c r="G10" s="9">
        <v>0</v>
      </c>
      <c r="H10" s="9" t="s">
        <v>3</v>
      </c>
      <c r="I10" s="1"/>
    </row>
    <row r="11" spans="1:9" x14ac:dyDescent="0.25">
      <c r="A11" s="1"/>
      <c r="B11" s="159" t="s">
        <v>270</v>
      </c>
      <c r="C11" s="160"/>
      <c r="D11" s="160"/>
      <c r="E11" s="160"/>
      <c r="F11" s="161"/>
      <c r="G11" s="9">
        <v>0</v>
      </c>
      <c r="H11" s="9" t="s">
        <v>3</v>
      </c>
      <c r="I11" s="1"/>
    </row>
    <row r="12" spans="1:9" x14ac:dyDescent="0.25">
      <c r="A12" s="1"/>
      <c r="B12" s="159" t="s">
        <v>271</v>
      </c>
      <c r="C12" s="160"/>
      <c r="D12" s="160"/>
      <c r="E12" s="160"/>
      <c r="F12" s="161"/>
      <c r="G12" s="9">
        <v>0</v>
      </c>
      <c r="H12" s="9" t="s">
        <v>3</v>
      </c>
      <c r="I12" s="1"/>
    </row>
    <row r="13" spans="1:9" x14ac:dyDescent="0.25">
      <c r="A13" s="1"/>
      <c r="B13" s="159" t="s">
        <v>272</v>
      </c>
      <c r="C13" s="160"/>
      <c r="D13" s="160"/>
      <c r="E13" s="160"/>
      <c r="F13" s="161"/>
      <c r="G13" s="9">
        <v>0</v>
      </c>
      <c r="H13" s="9" t="s">
        <v>3</v>
      </c>
      <c r="I13" s="1"/>
    </row>
    <row r="14" spans="1:9" x14ac:dyDescent="0.25">
      <c r="A14" s="1"/>
      <c r="B14" s="159" t="s">
        <v>273</v>
      </c>
      <c r="C14" s="160"/>
      <c r="D14" s="160"/>
      <c r="E14" s="160"/>
      <c r="F14" s="161"/>
      <c r="G14" s="9">
        <v>0</v>
      </c>
      <c r="H14" s="9" t="s">
        <v>3</v>
      </c>
      <c r="I14" s="1"/>
    </row>
    <row r="15" spans="1:9" x14ac:dyDescent="0.25">
      <c r="A15" s="1"/>
      <c r="B15" s="159" t="s">
        <v>274</v>
      </c>
      <c r="C15" s="160"/>
      <c r="D15" s="160"/>
      <c r="E15" s="160"/>
      <c r="F15" s="161"/>
      <c r="G15" s="9">
        <v>0</v>
      </c>
      <c r="H15" s="9" t="s">
        <v>3</v>
      </c>
      <c r="I15" s="1"/>
    </row>
    <row r="16" spans="1:9" x14ac:dyDescent="0.25">
      <c r="A16" s="1"/>
      <c r="B16" s="159" t="s">
        <v>275</v>
      </c>
      <c r="C16" s="160"/>
      <c r="D16" s="160"/>
      <c r="E16" s="160"/>
      <c r="F16" s="161"/>
      <c r="G16" s="9">
        <v>0</v>
      </c>
      <c r="H16" s="9" t="s">
        <v>3</v>
      </c>
      <c r="I16" s="1"/>
    </row>
    <row r="17" spans="1:9" x14ac:dyDescent="0.25">
      <c r="A17" s="1"/>
      <c r="B17" s="159" t="s">
        <v>276</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FNqINPxASbM9NANtvNl3HLhX8TfGDFthxpzvLXdjGUo1ephhqDSXBKGAycs6uxy9mMOfR9nv01yY5IifX5JZBw==" saltValue="lOxQbwwMaUItL13RbUL04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8"/>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1945869</v>
      </c>
      <c r="F14" s="8" t="s">
        <v>3</v>
      </c>
      <c r="G14" s="1"/>
    </row>
    <row r="15" spans="1:7" x14ac:dyDescent="0.25">
      <c r="A15" s="1"/>
      <c r="B15" s="130" t="s">
        <v>211</v>
      </c>
      <c r="C15" s="131"/>
      <c r="D15" s="132"/>
      <c r="E15" s="9">
        <v>2269412</v>
      </c>
      <c r="F15" s="8" t="s">
        <v>3</v>
      </c>
      <c r="G15" s="1"/>
    </row>
    <row r="16" spans="1:7" x14ac:dyDescent="0.25">
      <c r="A16" s="1"/>
      <c r="B16" s="133" t="s">
        <v>101</v>
      </c>
      <c r="C16" s="134"/>
      <c r="D16" s="158"/>
      <c r="E16" s="10">
        <f>E15-E14</f>
        <v>323543</v>
      </c>
      <c r="F16" s="11" t="s">
        <v>3</v>
      </c>
      <c r="G16" s="1"/>
    </row>
    <row r="17" spans="1:7" x14ac:dyDescent="0.25">
      <c r="A17" s="1"/>
      <c r="B17" s="32" t="s">
        <v>212</v>
      </c>
      <c r="C17" s="27"/>
      <c r="D17" s="27"/>
      <c r="E17" s="12">
        <f>E12+E16</f>
        <v>323543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kGKad4iS2ouvsO15ReDR+EgGLYwbI92rImZFsmx6yJ2nTXujebLXuOt9FvvrXeeuzvzw4IFd6wT0j4jaZ4nkA==" saltValue="2o7gn38R3+F1h5ECzemb5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277</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DA4VC7ONAInXX6kdp8Q81qy402bdrfxXp+vdFwDP9MiDpZadzukbk13oX7gWtUJ5foWYbXU5a9+NszEYGOiGg==" saltValue="h6iGCN84dLEgHv6TMJYdV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32" t="s">
        <v>156</v>
      </c>
      <c r="C11" s="12">
        <f>SUM(C10:C10)</f>
        <v>0</v>
      </c>
      <c r="D11" s="13" t="s">
        <v>3</v>
      </c>
      <c r="E11" s="12">
        <f>SUM(E10:E10)</f>
        <v>0</v>
      </c>
      <c r="F11" s="13" t="s">
        <v>3</v>
      </c>
      <c r="G11" s="1"/>
    </row>
    <row r="12" spans="1:7" x14ac:dyDescent="0.25">
      <c r="A12" s="1"/>
      <c r="B12" s="32" t="s">
        <v>213</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4LOb00AoKdGxrRupLCyNgJoGWIAU5pNnlA8ckdJ+UG9/j99+NXxy/ZbQA/qpC9v49q4L+olvrSWYJRdF0xHfw==" saltValue="9uAHy0iU0CXjZDPs+7jhp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3" t="s">
        <v>17</v>
      </c>
      <c r="C9" s="83" t="s">
        <v>11</v>
      </c>
      <c r="D9" s="84"/>
      <c r="E9" s="83" t="s">
        <v>31</v>
      </c>
      <c r="F9" s="31"/>
      <c r="G9" s="1"/>
    </row>
    <row r="10" spans="1:7" x14ac:dyDescent="0.25">
      <c r="A10" s="1"/>
      <c r="B10" s="23" t="s">
        <v>282</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jdBceHQ3kpdoXUfQ4snOEBhVq6m5bgGnd0vatxvaCDwCZqb/Unu8XvDrF62AQlbflRD4t1rKAD51orzShUlcRg==" saltValue="pjMMJ1xZmzZLvT0SEjd42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0lpxWiJsFm+VrHDFW1bH0ogQa+JmTSTI0X6EjSrGzJD3s1cSvznZq3iKn6e2youQ/RoiEQES2tbWeqQ2KZqtw==" saltValue="lJMijK2kwcn+oxZ5YTrVg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268</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5Yjh7FSc9vOg2pN4j47V6neMMIz3VpwbnF52h1MF7Ha8XQfKxMkV2hv24w5V5k0EnTBuZBVj9WPq/3XJQ9lp2A==" saltValue="nmXzuAkWgJNzyEcnV0sg7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RYCzgutPk4akJuC+5q3NCo76EhLCNU1HqgIh10nkjOk/zGWV1WUm1eR2HroPwhoqhgCtz+6YzxDDbLiGNJ0LA==" saltValue="EBOYcJ60LDaOyfqgGPej4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47428919.797214165</v>
      </c>
      <c r="D9" s="8" t="s">
        <v>3</v>
      </c>
      <c r="E9" s="1"/>
    </row>
    <row r="10" spans="1:5" ht="17.25" customHeight="1" x14ac:dyDescent="0.25">
      <c r="A10" s="1"/>
      <c r="B10" s="82" t="s">
        <v>39</v>
      </c>
      <c r="C10" s="7">
        <f>'Fane 11.1. Varige tillæg'!C12</f>
        <v>0</v>
      </c>
      <c r="D10" s="8" t="s">
        <v>3</v>
      </c>
      <c r="E10" s="1"/>
    </row>
    <row r="11" spans="1:5" ht="17.25" customHeight="1" x14ac:dyDescent="0.25">
      <c r="A11" s="1"/>
      <c r="B11" s="82" t="s">
        <v>40</v>
      </c>
      <c r="C11" s="9">
        <f>'Fane 11.1. Varige tillæg'!E12</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156515.43533080674</v>
      </c>
      <c r="D16" s="8" t="s">
        <v>3</v>
      </c>
      <c r="E16" s="1"/>
    </row>
    <row r="17" spans="1:5" ht="17.25" customHeight="1" x14ac:dyDescent="0.25">
      <c r="A17" s="1"/>
      <c r="B17" s="82" t="s">
        <v>10</v>
      </c>
      <c r="C17" s="44">
        <f>-SUM(C9,C10:C16)*'Fane 5. Individuelt eff. krav'!G9</f>
        <v>-951708.70465089951</v>
      </c>
      <c r="D17" s="8" t="s">
        <v>3</v>
      </c>
      <c r="E17" s="1"/>
    </row>
    <row r="18" spans="1:5" ht="17.25" customHeight="1" x14ac:dyDescent="0.25">
      <c r="A18" s="1"/>
      <c r="B18" s="82" t="s">
        <v>24</v>
      </c>
      <c r="C18" s="44">
        <f>-'Fane 4.1. Gen. krav - drift'!G45</f>
        <v>-434559.89959477453</v>
      </c>
      <c r="D18" s="8" t="s">
        <v>3</v>
      </c>
      <c r="E18" s="1"/>
    </row>
    <row r="19" spans="1:5" ht="17.25" customHeight="1" x14ac:dyDescent="0.25">
      <c r="A19" s="1"/>
      <c r="B19" s="82" t="s">
        <v>25</v>
      </c>
      <c r="C19" s="44">
        <f>-'Fane 4.2. Gen. krav - anlæg'!G43</f>
        <v>-425842.23651944572</v>
      </c>
      <c r="D19" s="8" t="s">
        <v>3</v>
      </c>
      <c r="E19" s="48"/>
    </row>
    <row r="20" spans="1:5" ht="17.25" customHeight="1" x14ac:dyDescent="0.25">
      <c r="A20" s="1"/>
      <c r="B20" s="88" t="s">
        <v>21</v>
      </c>
      <c r="C20" s="10">
        <f>SUM(C9:C19)</f>
        <v>45773324.391779847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omk.'!C13+'Fane 6. Ikke-påvirkelige omk.'!C17+'Fane 6. Ikke-påvirkelige omk.'!C25</f>
        <v>3134307.6179736</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-367923</v>
      </c>
      <c r="D32" s="11" t="s">
        <v>3</v>
      </c>
      <c r="E32" s="1"/>
    </row>
    <row r="33" spans="1:5" ht="15" customHeight="1" x14ac:dyDescent="0.25">
      <c r="A33" s="1"/>
      <c r="B33" s="32" t="s">
        <v>185</v>
      </c>
      <c r="C33" s="27"/>
      <c r="D33" s="19"/>
      <c r="E33" s="1"/>
    </row>
    <row r="34" spans="1:5" x14ac:dyDescent="0.25">
      <c r="A34" s="1"/>
      <c r="B34" s="30" t="s">
        <v>185</v>
      </c>
      <c r="C34" s="10">
        <f>'Fane 9. Korrektion af ØR2021'!E17</f>
        <v>323543</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48863252.009753451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SOc3EJYTkh/GE1h3T67WAHxyxcxH86xKAZQDzqitxVnhFzJqTNqW9OSlDLaNlZrwxl3DrtxW7QZAl91NqbFSQ==" saltValue="t8Xi3+7zw4d8vgB3+1jqr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Ff0t/qONbSnxXug5pMWm85YFnmth0mBe2+qs5Zya5I3JSxksBITAyY4gLDrIYs0kCE3JVd9EVvuLIjTZ5TgUQ==" saltValue="nRyMqC64Ag4ZPeHbrctCB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45773324.391779847</v>
      </c>
      <c r="D9" s="8" t="s">
        <v>3</v>
      </c>
      <c r="E9" s="1"/>
    </row>
    <row r="10" spans="1:5" ht="15" customHeight="1" x14ac:dyDescent="0.25">
      <c r="A10" s="1"/>
      <c r="B10" s="25" t="s">
        <v>19</v>
      </c>
      <c r="C10" s="7">
        <f>SUM(C9:C9)*'Fane 15. Nøgletal'!C15</f>
        <v>1629530.3483473626</v>
      </c>
      <c r="D10" s="8" t="s">
        <v>3</v>
      </c>
      <c r="E10" s="1"/>
    </row>
    <row r="11" spans="1:5" ht="15" customHeight="1" x14ac:dyDescent="0.25">
      <c r="A11" s="1"/>
      <c r="B11" s="25" t="s">
        <v>10</v>
      </c>
      <c r="C11" s="9">
        <f>-SUM(C9:C10)*'Fane 5. Individuelt eff. krav'!G9</f>
        <v>-948057.09480254434</v>
      </c>
      <c r="D11" s="8" t="s">
        <v>3</v>
      </c>
      <c r="E11" s="1"/>
    </row>
    <row r="12" spans="1:5" ht="15" customHeight="1" x14ac:dyDescent="0.25">
      <c r="A12" s="1"/>
      <c r="B12" s="25" t="s">
        <v>24</v>
      </c>
      <c r="C12" s="9">
        <f>-'Fane 4.1. Gen. krav - drift'!G53</f>
        <v>-441029.62737994158</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46013768.017944731</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Nøgletal'!C15)+'Fane 6. Ikke-påvirkelige omk.'!C18+'Fane 6. Ikke-påvirkelige omk.'!C26</f>
        <v>2104697.0327734603</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-525980.91099330224</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47592484.139724888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T0Bg3LtOIF7Zac3KHrJoz5HOfb0zUdkQkfv7indXgJRxR8BWYSvE/kBwuxbj1Yf9cZm3Gz7/uEAT45XUuf/bQ==" saltValue="LPmk3VEseR4lT+owHApHs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46013768.017944731</v>
      </c>
      <c r="D9" s="8" t="s">
        <v>3</v>
      </c>
      <c r="E9" s="1"/>
    </row>
    <row r="10" spans="1:5" ht="15" customHeight="1" x14ac:dyDescent="0.25">
      <c r="A10" s="1"/>
      <c r="B10" s="25" t="s">
        <v>19</v>
      </c>
      <c r="C10" s="7">
        <f>SUM(C9:C9)*'Fane 15. Nøgletal'!C15</f>
        <v>1638090.1414388325</v>
      </c>
      <c r="D10" s="8" t="s">
        <v>3</v>
      </c>
      <c r="E10" s="1"/>
    </row>
    <row r="11" spans="1:5" ht="15" customHeight="1" x14ac:dyDescent="0.25">
      <c r="A11" s="1"/>
      <c r="B11" s="25" t="s">
        <v>10</v>
      </c>
      <c r="C11" s="9">
        <f>-SUM(C9:C10)*'Fane 5. Individuelt eff. krav'!G9</f>
        <v>-953037.16318767134</v>
      </c>
      <c r="D11" s="8" t="s">
        <v>3</v>
      </c>
      <c r="E11" s="1"/>
    </row>
    <row r="12" spans="1:5" ht="15" customHeight="1" x14ac:dyDescent="0.25">
      <c r="A12" s="1"/>
      <c r="B12" s="25" t="s">
        <v>24</v>
      </c>
      <c r="C12" s="9">
        <f>-'Fane 4.1. Gen. krav - drift'!G58</f>
        <v>-447595.67647237412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46251225.319723524</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Nøgletal'!C15)^2+'Fane 6. Ikke-påvirkelige omk.'!C19+'Fane 6. Ikke-påvirkelige omk.'!C27</f>
        <v>1355411.6271401956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-525980.91099330224</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47080656.035870418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WF3h7tzpsrk2BeqQEJQInhC8ErHBsnMAAmxRicy7MCQUjtH3CT7iiUnCgbxoEaO71fJCPhFaUBpolY6lD1eBA==" saltValue="LZxz6FTRKROTqC9tDLYMQ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46251225.319723524</v>
      </c>
      <c r="D9" s="8" t="s">
        <v>3</v>
      </c>
      <c r="E9" s="1"/>
    </row>
    <row r="10" spans="1:5" ht="15" customHeight="1" x14ac:dyDescent="0.25">
      <c r="A10" s="1"/>
      <c r="B10" s="25" t="s">
        <v>19</v>
      </c>
      <c r="C10" s="7">
        <f>SUM(C9:C9)*'Fane 15. Nøgletal'!C15</f>
        <v>1646543.6213821576</v>
      </c>
      <c r="D10" s="8" t="s">
        <v>3</v>
      </c>
      <c r="E10" s="1"/>
    </row>
    <row r="11" spans="1:5" ht="15" customHeight="1" x14ac:dyDescent="0.25">
      <c r="A11" s="1"/>
      <c r="B11" s="25" t="s">
        <v>10</v>
      </c>
      <c r="C11" s="9">
        <f>-SUM(C9:C10)*'Fane 5. Individuelt eff. krav'!G9</f>
        <v>-957955.37882211362</v>
      </c>
      <c r="D11" s="8" t="s">
        <v>3</v>
      </c>
      <c r="E11" s="1"/>
    </row>
    <row r="12" spans="1:5" ht="15" customHeight="1" x14ac:dyDescent="0.25">
      <c r="A12" s="1"/>
      <c r="B12" s="25" t="s">
        <v>24</v>
      </c>
      <c r="C12" s="9">
        <f>-'Fane 4.1. Gen. krav - drift'!G63</f>
        <v>-454259.48090369487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46485554.081379876</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Nøgletal'!C15)^3+'Fane 6. Ikke-påvirkelige omk.'!C20+'Fane 6. Ikke-påvirkelige omk.'!C28</f>
        <v>1400786.0210663865</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-525980.91099330224</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47360359.191452965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iH6NV8tZw65QXuf9v9AodkI5sscTAAqEPOSl6n/UaVBDEECoTsQXwHzGa+Ec9st3G3weylXythssqr8gGKwWA==" saltValue="d5EvpJ7ps+NaxL5dgno7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283</v>
      </c>
      <c r="C8" s="27"/>
      <c r="D8" s="27"/>
      <c r="E8" s="27"/>
      <c r="F8" s="19"/>
      <c r="G8" s="1"/>
    </row>
    <row r="9" spans="1:7" ht="15" customHeight="1" x14ac:dyDescent="0.25">
      <c r="A9" s="1"/>
      <c r="B9" s="130" t="s">
        <v>192</v>
      </c>
      <c r="C9" s="131"/>
      <c r="D9" s="132"/>
      <c r="E9" s="7">
        <v>49051766.943914644</v>
      </c>
      <c r="F9" s="8" t="s">
        <v>3</v>
      </c>
      <c r="G9" s="1"/>
    </row>
    <row r="10" spans="1:7" ht="15" customHeight="1" x14ac:dyDescent="0.25">
      <c r="A10" s="1"/>
      <c r="B10" s="121" t="s">
        <v>39</v>
      </c>
      <c r="C10" s="122"/>
      <c r="D10" s="123"/>
      <c r="E10" s="7">
        <v>58850.568100000004</v>
      </c>
      <c r="F10" s="8" t="s">
        <v>3</v>
      </c>
      <c r="G10" s="1"/>
    </row>
    <row r="11" spans="1:7" ht="15" customHeight="1" x14ac:dyDescent="0.25">
      <c r="A11" s="1"/>
      <c r="B11" s="121" t="s">
        <v>40</v>
      </c>
      <c r="C11" s="122"/>
      <c r="D11" s="123"/>
      <c r="E11" s="9">
        <v>14725.4341</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162113.63172217834</v>
      </c>
      <c r="F16" s="8" t="s">
        <v>3</v>
      </c>
      <c r="G16" s="1"/>
    </row>
    <row r="17" spans="1:7" ht="15" customHeight="1" x14ac:dyDescent="0.25">
      <c r="A17" s="1"/>
      <c r="B17" s="130" t="s">
        <v>10</v>
      </c>
      <c r="C17" s="131"/>
      <c r="D17" s="132"/>
      <c r="E17" s="9">
        <v>-985749.13155673654</v>
      </c>
      <c r="F17" s="8" t="s">
        <v>3</v>
      </c>
      <c r="G17" s="1"/>
    </row>
    <row r="18" spans="1:7" ht="15" customHeight="1" x14ac:dyDescent="0.25">
      <c r="A18" s="1"/>
      <c r="B18" s="130" t="s">
        <v>24</v>
      </c>
      <c r="C18" s="131"/>
      <c r="D18" s="132"/>
      <c r="E18" s="9">
        <f>-'Fane 4.1. Gen. krav - drift'!G39</f>
        <v>-441969.96807959705</v>
      </c>
      <c r="F18" s="8" t="s">
        <v>3</v>
      </c>
      <c r="G18" s="1"/>
    </row>
    <row r="19" spans="1:7" ht="15" customHeight="1" x14ac:dyDescent="0.25">
      <c r="A19" s="1"/>
      <c r="B19" s="130" t="s">
        <v>25</v>
      </c>
      <c r="C19" s="131"/>
      <c r="D19" s="132"/>
      <c r="E19" s="9">
        <f>-'Fane 4.2. Gen. krav - anlæg'!G37</f>
        <v>-430817.68098632782</v>
      </c>
      <c r="F19" s="8" t="s">
        <v>3</v>
      </c>
      <c r="G19" s="1"/>
    </row>
    <row r="20" spans="1:7" ht="15" customHeight="1" x14ac:dyDescent="0.25">
      <c r="A20" s="1"/>
      <c r="B20" s="54" t="s">
        <v>21</v>
      </c>
      <c r="C20" s="89"/>
      <c r="D20" s="96"/>
      <c r="E20" s="51">
        <f>SUM(E9:E19)</f>
        <v>47428919.797214165</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2987671.0067143999</v>
      </c>
      <c r="F22" s="11" t="s">
        <v>3</v>
      </c>
      <c r="G22" s="1"/>
    </row>
    <row r="23" spans="1:7" ht="15" customHeight="1" x14ac:dyDescent="0.25">
      <c r="A23" s="1"/>
      <c r="B23" s="127" t="s">
        <v>86</v>
      </c>
      <c r="C23" s="128"/>
      <c r="D23" s="129"/>
      <c r="E23" s="27"/>
      <c r="F23" s="27"/>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-367923</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250000</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50298667.803928569</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btd0dmdDIY4gwiqsBBevBFKb6btkXGzCXSHVvm2fz6r4GK+9ZI51qVXzdy4SegR6FWQv/oCfeGfxpQAh/EFvxg==" saltValue="Kb5/dxr/oiKK/Ni7gaIHE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22780795</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455615.9</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22715869.734250002</v>
      </c>
      <c r="H11" s="14" t="s">
        <v>3</v>
      </c>
      <c r="I11" s="1"/>
    </row>
    <row r="12" spans="1:9" ht="15" customHeight="1" x14ac:dyDescent="0.25">
      <c r="A12" s="1"/>
      <c r="B12" s="137" t="s">
        <v>121</v>
      </c>
      <c r="C12" s="138"/>
      <c r="D12" s="138"/>
      <c r="E12" s="138"/>
      <c r="F12" s="139"/>
      <c r="G12" s="77">
        <v>-205301.79311788661</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450211.3588226423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22446412.822499886</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448928.25644999772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22430835.012001071</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448616.70024002146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22415268.012502745</v>
      </c>
      <c r="H31" s="14" t="s">
        <v>3</v>
      </c>
      <c r="I31" s="1"/>
    </row>
    <row r="32" spans="1:9" x14ac:dyDescent="0.25">
      <c r="A32" s="1"/>
      <c r="B32" s="137" t="s">
        <v>137</v>
      </c>
      <c r="C32" s="138"/>
      <c r="D32" s="138"/>
      <c r="E32" s="138"/>
      <c r="F32" s="139"/>
      <c r="G32" s="76">
        <v>0</v>
      </c>
      <c r="H32" s="14" t="s">
        <v>3</v>
      </c>
      <c r="I32" s="1"/>
    </row>
    <row r="33" spans="1:9" x14ac:dyDescent="0.25">
      <c r="A33" s="1"/>
      <c r="B33" s="137" t="s">
        <v>60</v>
      </c>
      <c r="C33" s="138"/>
      <c r="D33" s="138"/>
      <c r="E33" s="138"/>
      <c r="F33" s="139"/>
      <c r="G33" s="76">
        <f>(G31+G32)*'Fane 15. Nøgletal'!C31</f>
        <v>448305.36025005492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22039453.629005123</v>
      </c>
      <c r="H37" s="14" t="s">
        <v>3</v>
      </c>
      <c r="I37" s="1"/>
    </row>
    <row r="38" spans="1:9" x14ac:dyDescent="0.25">
      <c r="A38" s="1"/>
      <c r="B38" s="137" t="s">
        <v>164</v>
      </c>
      <c r="C38" s="138"/>
      <c r="D38" s="138"/>
      <c r="E38" s="138"/>
      <c r="F38" s="139"/>
      <c r="G38" s="76">
        <v>59044.774974730011</v>
      </c>
      <c r="H38" s="14" t="s">
        <v>3</v>
      </c>
      <c r="I38" s="1"/>
    </row>
    <row r="39" spans="1:9" x14ac:dyDescent="0.25">
      <c r="A39" s="1"/>
      <c r="B39" s="137" t="s">
        <v>162</v>
      </c>
      <c r="C39" s="138"/>
      <c r="D39" s="138"/>
      <c r="E39" s="138"/>
      <c r="F39" s="139"/>
      <c r="G39" s="76">
        <f>(G37+G38)*'Fane 15. Nøgletal'!C31</f>
        <v>441969.96807959705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21727994.979738727</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0</v>
      </c>
      <c r="H44" s="14" t="s">
        <v>3</v>
      </c>
      <c r="I44" s="1"/>
    </row>
    <row r="45" spans="1:9" x14ac:dyDescent="0.25">
      <c r="A45" s="1"/>
      <c r="B45" s="137" t="s">
        <v>163</v>
      </c>
      <c r="C45" s="138"/>
      <c r="D45" s="138"/>
      <c r="E45" s="138"/>
      <c r="F45" s="139"/>
      <c r="G45" s="76">
        <f>SUM(G43:G44)*'Fane 15. Nøgletal'!C31</f>
        <v>434559.89959477453</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22051481.368997078</v>
      </c>
      <c r="H52" s="14" t="s">
        <v>3</v>
      </c>
      <c r="I52" s="1"/>
    </row>
    <row r="53" spans="1:9" x14ac:dyDescent="0.25">
      <c r="A53" s="1"/>
      <c r="B53" s="137" t="s">
        <v>138</v>
      </c>
      <c r="C53" s="138"/>
      <c r="D53" s="138"/>
      <c r="E53" s="138"/>
      <c r="F53" s="139"/>
      <c r="G53" s="76">
        <f>(G52)*'Fane 15. Nøgletal'!C31</f>
        <v>441029.62737994158</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22379783.823618706</v>
      </c>
      <c r="H57" s="14" t="s">
        <v>3</v>
      </c>
      <c r="I57" s="1"/>
    </row>
    <row r="58" spans="1:9" x14ac:dyDescent="0.25">
      <c r="A58" s="1"/>
      <c r="B58" s="91" t="s">
        <v>152</v>
      </c>
      <c r="C58" s="92"/>
      <c r="D58" s="92"/>
      <c r="E58" s="92"/>
      <c r="F58" s="93"/>
      <c r="G58" s="76">
        <f>(G57)*'Fane 15. Nøgletal'!C31</f>
        <v>447595.67647237412</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22712974.045184743</v>
      </c>
      <c r="H62" s="14" t="s">
        <v>3</v>
      </c>
      <c r="I62" s="1"/>
    </row>
    <row r="63" spans="1:9" x14ac:dyDescent="0.25">
      <c r="A63" s="1"/>
      <c r="B63" s="91" t="s">
        <v>195</v>
      </c>
      <c r="C63" s="92"/>
      <c r="D63" s="92"/>
      <c r="E63" s="92"/>
      <c r="F63" s="93"/>
      <c r="G63" s="76">
        <f>(G62)*'Fane 15. Nøgletal'!C31</f>
        <v>454259.48090369487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dsYfYEnCY0RTzYaBm0jFw0x2thyrlc0Z5C3kyYMVC4DfIeJpQHBy+CpOBdBGgklcxwZYVqAkOBKt9TGN1RCdSQ==" saltValue="L8pZxuTSRJgAcT6gudsaz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29936623</v>
      </c>
      <c r="H5" s="14" t="s">
        <v>3</v>
      </c>
      <c r="I5" s="1"/>
    </row>
    <row r="6" spans="1:9" x14ac:dyDescent="0.25">
      <c r="A6" s="1"/>
      <c r="B6" s="137" t="s">
        <v>57</v>
      </c>
      <c r="C6" s="138"/>
      <c r="D6" s="138"/>
      <c r="E6" s="138"/>
      <c r="F6" s="139"/>
      <c r="G6" s="76">
        <f>G5*'Fane 15. Nøgletal'!C20</f>
        <v>272423.26929999999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30183323.225987252</v>
      </c>
      <c r="H10" s="14" t="s">
        <v>3</v>
      </c>
      <c r="I10" s="1"/>
    </row>
    <row r="11" spans="1:9" x14ac:dyDescent="0.25">
      <c r="A11" s="1"/>
      <c r="B11" s="137" t="s">
        <v>122</v>
      </c>
      <c r="C11" s="138"/>
      <c r="D11" s="138"/>
      <c r="E11" s="138"/>
      <c r="F11" s="139"/>
      <c r="G11" s="76">
        <v>-172313.04415608078</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531194.88021841168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29995712.069390982</v>
      </c>
      <c r="H17" s="14" t="s">
        <v>3</v>
      </c>
      <c r="I17" s="1"/>
    </row>
    <row r="18" spans="1:9" x14ac:dyDescent="0.25">
      <c r="A18" s="1"/>
      <c r="B18" s="140" t="s">
        <v>68</v>
      </c>
      <c r="C18" s="141"/>
      <c r="D18" s="141"/>
      <c r="E18" s="141"/>
      <c r="F18" s="142"/>
      <c r="G18" s="76">
        <v>33406.13563104999</v>
      </c>
      <c r="H18" s="14" t="s">
        <v>3</v>
      </c>
      <c r="I18" s="1"/>
    </row>
    <row r="19" spans="1:9" x14ac:dyDescent="0.25">
      <c r="A19" s="1"/>
      <c r="B19" s="137" t="s">
        <v>69</v>
      </c>
      <c r="C19" s="138"/>
      <c r="D19" s="138"/>
      <c r="E19" s="138"/>
      <c r="F19" s="139"/>
      <c r="G19" s="76">
        <f>G17*'Fane 15. Nøgletal'!C21+G18*'Fane 15. Nøgletal'!C22</f>
        <v>531214.7370082105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30079012.166333698</v>
      </c>
      <c r="H23" s="14" t="s">
        <v>3</v>
      </c>
      <c r="I23" s="1"/>
    </row>
    <row r="24" spans="1:9" x14ac:dyDescent="0.25">
      <c r="A24" s="1"/>
      <c r="B24" s="140" t="s">
        <v>72</v>
      </c>
      <c r="C24" s="141"/>
      <c r="D24" s="141"/>
      <c r="E24" s="141"/>
      <c r="F24" s="142"/>
      <c r="G24" s="76">
        <v>46405.950414318002</v>
      </c>
      <c r="H24" s="14" t="s">
        <v>3</v>
      </c>
      <c r="I24" s="1"/>
    </row>
    <row r="25" spans="1:9" x14ac:dyDescent="0.25">
      <c r="A25" s="1"/>
      <c r="B25" s="137" t="s">
        <v>73</v>
      </c>
      <c r="C25" s="138"/>
      <c r="D25" s="138"/>
      <c r="E25" s="138"/>
      <c r="F25" s="139"/>
      <c r="G25" s="76">
        <f>(G23+G24)*'Fane 15. Nøgletal'!C23</f>
        <v>855561.87451564369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29846472.410204351</v>
      </c>
      <c r="H29" s="14" t="s">
        <v>3</v>
      </c>
      <c r="I29" s="1"/>
    </row>
    <row r="30" spans="1:9" x14ac:dyDescent="0.25">
      <c r="A30" s="1"/>
      <c r="B30" s="137" t="s">
        <v>139</v>
      </c>
      <c r="C30" s="138"/>
      <c r="D30" s="138"/>
      <c r="E30" s="138"/>
      <c r="F30" s="139"/>
      <c r="G30" s="76">
        <v>0</v>
      </c>
      <c r="H30" s="14" t="s">
        <v>3</v>
      </c>
      <c r="I30" s="1"/>
    </row>
    <row r="31" spans="1:9" x14ac:dyDescent="0.25">
      <c r="A31" s="1"/>
      <c r="B31" s="137" t="s">
        <v>76</v>
      </c>
      <c r="C31" s="138"/>
      <c r="D31" s="138"/>
      <c r="E31" s="138"/>
      <c r="F31" s="139"/>
      <c r="G31" s="76">
        <f>G29*'Fane 15. Nøgletal'!C23+G30*'Fane 15. Nøgletal'!C24</f>
        <v>847639.81644980365</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29094528.741313942</v>
      </c>
      <c r="H35" s="14" t="s">
        <v>3</v>
      </c>
      <c r="I35" s="1"/>
    </row>
    <row r="36" spans="1:9" x14ac:dyDescent="0.25">
      <c r="A36" s="1"/>
      <c r="B36" s="137" t="s">
        <v>167</v>
      </c>
      <c r="C36" s="138"/>
      <c r="D36" s="138"/>
      <c r="E36" s="138"/>
      <c r="F36" s="139"/>
      <c r="G36" s="76">
        <v>14774.028032530001</v>
      </c>
      <c r="H36" s="14" t="s">
        <v>3</v>
      </c>
      <c r="I36" s="1"/>
    </row>
    <row r="37" spans="1:9" x14ac:dyDescent="0.25">
      <c r="A37" s="1"/>
      <c r="B37" s="137" t="s">
        <v>166</v>
      </c>
      <c r="C37" s="138"/>
      <c r="D37" s="138"/>
      <c r="E37" s="138"/>
      <c r="F37" s="139"/>
      <c r="G37" s="76">
        <f>(G35+G36)*'Fane 15. Nøgletal'!C25</f>
        <v>430817.68098632782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28773124.089151736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37" t="s">
        <v>168</v>
      </c>
      <c r="C43" s="138"/>
      <c r="D43" s="138"/>
      <c r="E43" s="138"/>
      <c r="F43" s="139"/>
      <c r="G43" s="76">
        <f>(G41)*'Fane 15. Nøgletal'!C25+G42*'Fane 15. Nøgletal'!C26</f>
        <v>425842.23651944572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29356445.086586002</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30401534.531668466</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31483829.160995867</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F7kRaka1xwueN4rZIeuINzAZiSwlc5HVOZG1WOdp1OofkNekl/iJWO//AyREvlJO/9+0XQlCQqb8pgaIjahkQ==" saltValue="x+kRbqNCSWbT2ffKaxvA0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0.02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BCVp5eX1D9ZDqlvpDNdImzODBEwxG9HvnAiHeLAtT+ZxLR+++7Zi2UQ9rY56PJoNoD1/jJum5covdsSes7ruSQ==" saltValue="KHo5fy8C3RiEU72ARhgtn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2022-12-01T08:38:35Z</dcterms:modified>
</cp:coreProperties>
</file>