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Novafos Vand Ballerup AS (V197)\ØR2023\"/>
    </mc:Choice>
  </mc:AlternateContent>
  <xr:revisionPtr revIDLastSave="0" documentId="13_ncr:1_{3BFE916B-35B6-4989-B1B9-9A27852151E2}"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91029" calcMode="manual"/>
</workbook>
</file>

<file path=xl/calcChain.xml><?xml version="1.0" encoding="utf-8"?>
<calcChain xmlns="http://schemas.openxmlformats.org/spreadsheetml/2006/main">
  <c r="C17" i="19" l="1"/>
  <c r="C15" i="2" l="1"/>
  <c r="C16" i="2"/>
  <c r="C17" i="2"/>
  <c r="G36" i="30" l="1"/>
  <c r="G36" i="36"/>
  <c r="E12" i="37" l="1"/>
  <c r="E32" i="27" l="1"/>
  <c r="C19" i="23"/>
  <c r="C19" i="22"/>
  <c r="C19" i="15"/>
  <c r="C31" i="2"/>
  <c r="G18" i="40" l="1"/>
  <c r="E25" i="32" l="1"/>
  <c r="E29" i="32" s="1"/>
  <c r="E31" i="32" s="1"/>
  <c r="C17" i="15" l="1"/>
  <c r="C29" i="2"/>
  <c r="F10" i="11"/>
  <c r="E12" i="39" l="1"/>
  <c r="C12" i="39"/>
  <c r="E11" i="29"/>
  <c r="E12" i="29" s="1"/>
  <c r="C14" i="2" s="1"/>
  <c r="C11" i="29"/>
  <c r="J11" i="11"/>
  <c r="H11" i="11"/>
  <c r="C18" i="19" l="1"/>
  <c r="F11" i="11" l="1"/>
  <c r="E10" i="37" s="1"/>
  <c r="E15" i="37" s="1"/>
  <c r="C10" i="37"/>
  <c r="C15" i="37" l="1"/>
  <c r="C16" i="37" s="1"/>
  <c r="C15" i="23"/>
  <c r="C15" i="22" l="1"/>
  <c r="C15" i="15"/>
  <c r="C12" i="29"/>
  <c r="G37" i="36" l="1"/>
  <c r="G37" i="30"/>
  <c r="G6" i="30" l="1"/>
  <c r="E13" i="39" l="1"/>
  <c r="C13" i="39"/>
  <c r="C23" i="2" s="1"/>
  <c r="C25" i="2" s="1"/>
  <c r="G10" i="30" l="1"/>
  <c r="G12" i="30" s="1"/>
  <c r="E16" i="37" l="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8" i="36" s="1"/>
  <c r="G35" i="30" l="1"/>
  <c r="G38" i="30" l="1"/>
  <c r="C9" i="2"/>
  <c r="C13" i="2"/>
  <c r="G43" i="30" l="1"/>
  <c r="G42" i="30"/>
  <c r="C21" i="2"/>
  <c r="G44" i="30" l="1"/>
  <c r="G48" i="30" l="1"/>
  <c r="G49" i="30" s="1"/>
  <c r="C10" i="2"/>
  <c r="G43" i="36" s="1"/>
  <c r="G42" i="36"/>
  <c r="G53" i="30" l="1"/>
  <c r="C11" i="15" l="1"/>
  <c r="G54" i="30"/>
  <c r="G58" i="30" s="1"/>
  <c r="G59" i="30" s="1"/>
  <c r="E20" i="27"/>
  <c r="G44" i="36"/>
  <c r="C18" i="2" s="1"/>
  <c r="C8" i="2" l="1"/>
  <c r="C19" i="2" s="1"/>
  <c r="C8" i="15" s="1"/>
  <c r="E33" i="27"/>
  <c r="C11" i="22"/>
  <c r="G48" i="36"/>
  <c r="G49" i="36" l="1"/>
  <c r="G53" i="36" s="1"/>
  <c r="G54" i="36" s="1"/>
  <c r="C9" i="15"/>
  <c r="C10" i="15" s="1"/>
  <c r="C32" i="2"/>
  <c r="C11" i="23"/>
  <c r="C12" i="15" l="1"/>
  <c r="C13" i="15" s="1"/>
  <c r="C20" i="15" s="1"/>
  <c r="G58" i="36"/>
  <c r="G59"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<sst xmlns="http://schemas.openxmlformats.org/spreadsheetml/2006/main" count="528" uniqueCount="261">
  <si>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</si>
  <si>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</si>
  <si>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</si>
  <si>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</si>
  <si>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</si>
  <si>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</si>
  <si>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</si>
  <si>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</si>
  <si>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</si>
  <si>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</si>
  <si>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</si>
  <si>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</si>
  <si>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</si>
  <si>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</si>
  <si>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</si>
  <si>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</si>
  <si>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</si>
  <si>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</si>
  <si>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</si>
  <si>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</si>
  <si>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</si>
  <si>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</si>
  <si>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</si>
  <si>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</si>
  <si>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</si>
  <si>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</si>
  <si>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</si>
  <si>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</si>
  <si>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</si>
  <si>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</si>
  <si>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</si>
  <si>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</si>
  <si>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</si>
  <si>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</si>
  <si>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</si>
  <si>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</si>
  <si>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</si>
  <si>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</si>
  <si>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</si>
  <si>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</si>
  <si>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</si>
  <si>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</si>
  <si>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</si>
  <si>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</si>
  <si>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</si>
  <si>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</si>
  <si>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</si>
  <si>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</si>
  <si>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</si>
  <si>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</si>
  <si>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</si>
  <si>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</si>
  <si>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</si>
  <si>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</si>
  <si>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</si>
  <si>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</si>
  <si>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</si>
  <si>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</si>
  <si>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</si>
  <si>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</si>
  <si>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</si>
  <si>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</si>
  <si>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</si>
  <si>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</si>
  <si>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</si>
  <si>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</si>
  <si>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</si>
  <si>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</si>
  <si>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</si>
  <si>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</si>
  <si>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</si>
  <si>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</si>
  <si>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</si>
  <si>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</si>
  <si>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</si>
  <si>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</si>
  <si>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</si>
  <si>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</si>
  <si>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</si>
  <si>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</si>
  <si>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</si>
  <si>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</si>
  <si>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</si>
  <si>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</si>
  <si>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</si>
  <si>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</si>
  <si>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</si>
  <si>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</si>
  <si>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</si>
  <si>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</si>
  <si>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</si>
  <si>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</si>
  <si>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</si>
  <si>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</si>
  <si>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</si>
  <si>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</si>
  <si>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</si>
  <si>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</si>
  <si>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</si>
  <si>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</si>
  <si>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</si>
  <si>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</si>
  <si>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</si>
  <si>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</si>
  <si>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</si>
  <si>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</si>
  <si>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</si>
  <si>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</si>
  <si>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</si>
  <si>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</si>
  <si>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</si>
  <si>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</si>
  <si>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</si>
  <si>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</si>
  <si>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</si>
  <si>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</si>
  <si>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</si>
  <si>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</si>
  <si>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</si>
  <si>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</si>
  <si>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</si>
  <si>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</si>
  <si>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</si>
  <si>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</si>
  <si>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</si>
  <si>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</si>
  <si>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</si>
  <si>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</si>
  <si>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</si>
  <si>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</si>
  <si>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</si>
  <si>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</si>
  <si>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</si>
  <si>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</si>
  <si>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</si>
  <si>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</si>
  <si>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</si>
  <si>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</si>
  <si>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</si>
  <si>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</si>
  <si>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</si>
  <si>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</si>
  <si>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</si>
  <si>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</si>
  <si>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</si>
  <si>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</si>
  <si>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</si>
  <si>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</si>
  <si>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</si>
  <si>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</si>
  <si>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</si>
  <si>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</si>
  <si>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</si>
  <si>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</si>
  <si>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</si>
  <si>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</si>
  <si>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</si>
  <si>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</si>
  <si>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</si>
  <si>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</si>
  <si>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</si>
  <si>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</si>
  <si>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</si>
  <si>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</si>
  <si>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</si>
  <si>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</si>
  <si>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</si>
  <si>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</si>
  <si>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</si>
  <si>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</si>
  <si>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</si>
  <si>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</si>
  <si>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</si>
  <si>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</si>
  <si>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</si>
  <si>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</si>
  <si>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</si>
  <si>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</si>
  <si>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</si>
  <si>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</si>
  <si>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</si>
  <si>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</si>
  <si>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</si>
  <si>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</si>
  <si>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</si>
  <si>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</si>
  <si>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</si>
  <si>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</si>
  <si>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</si>
  <si>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</si>
  <si>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</si>
  <si>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</si>
  <si>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</si>
  <si>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</si>
  <si>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</si>
  <si>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</si>
  <si>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</si>
  <si>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</si>
  <si>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</si>
  <si>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</si>
  <si>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</si>
  <si>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</si>
  <si>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</si>
  <si>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</si>
  <si>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</si>
  <si>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</si>
  <si>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</si>
  <si>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</si>
  <si>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</si>
  <si>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</si>
  <si>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</si>
  <si>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</si>
  <si>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</si>
  <si>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</si>
  <si>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</si>
  <si>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</si>
  <si>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</si>
  <si>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</si>
  <si>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</si>
  <si>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</si>
  <si>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</si>
  <si>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</si>
  <si>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</si>
  <si>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</si>
  <si>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</si>
  <si>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</si>
  <si>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</si>
  <si>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</si>
  <si>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</si>
  <si>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</si>
  <si>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</si>
  <si>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</si>
  <si>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</si>
  <si>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</si>
  <si>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</si>
  <si>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Erstatninger</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</si>
  <si>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</si>
  <si>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</si>
  <si>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</si>
  <si>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</si>
  <si>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</si>
  <si>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</si>
  <si>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</si>
  <si>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</si>
  <si>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</si>
  <si>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</si>
  <si>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</si>
  <si>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</si>
  <si>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</si>
  <si>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</si>
  <si>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</si>
  <si>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Byggemodninger</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</si>
  <si>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</si>
  <si>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Udvikling af nye rensemetoder</t>
  </si>
  <si>
    <t>Ingen engangstillæg</t>
  </si>
  <si>
    <t>Resultat af kontrol med overholdelse af den økonomiske ramme for 2021</t>
  </si>
  <si>
    <t>- Heraf nye anlægsomkostninger til de økonomiske rammer for 2021</t>
  </si>
  <si>
    <t xml:space="preserve">kr. </t>
  </si>
  <si>
    <t>- Heraf nye driftsomkostninger til de økonomiske rammer for 2021</t>
  </si>
  <si>
    <t>Fusion med Hove Overdrev Vandværk</t>
  </si>
  <si>
    <t>Fusion med Nybølle Vandværk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</si>
</sst>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49" fontId="8" fillId="8" borderId="6" xfId="0" applyNumberFormat="1" applyFont="1" applyFill="1" applyBorder="1" applyAlignment="1" applyProtection="1">
      <alignment horizontal="left"/>
    </xf>
    <xf numFmtId="49" fontId="8" fillId="8" borderId="3" xfId="0" applyNumberFormat="1" applyFont="1" applyFill="1" applyBorder="1" applyAlignment="1" applyProtection="1">
      <alignment horizontal="left"/>
    </xf>
    <xf numFmtId="165" fontId="8" fillId="8" borderId="1" xfId="1"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4" borderId="1" xfId="0" applyFont="1" applyFill="1" applyBorder="1" applyAlignment="1" applyProtection="1">
      <alignment horizontal="left"/>
    </xf>
    <xf numFmtId="0" fontId="0" fillId="0" borderId="0" xfId="0" applyFill="1" applyAlignment="1" applyProtection="1">
      <alignment horizontal="righ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AND/Sagsbehandling/Drikkevand/Novafos%20Vand%20Ballerup%20AS%20(V197)/&#216;R2022/Bilag%20A%20-%20Novafos%20Vand%20Ballerup%20AS%20(V197)%20-%20&#216;R22%20-%20efter%20fu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5">
          <cell r="C5">
            <v>1.0168999999999999</v>
          </cell>
        </row>
      </sheetData>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Forside"/>
      <sheetName val="Fane 2.1. Økonomisk ramme 2022"/>
      <sheetName val="Fane 2.2. Økonomisk ramme 2023"/>
      <sheetName val="Fane 2.3. Økonomisk ramme 2024"/>
      <sheetName val="Fane 2.4. Økonomisk ramme 2025"/>
      <sheetName val="Fane 3. Omkostninger i ØR2021"/>
      <sheetName val="Fane 4.1. Gen. krav - drift"/>
      <sheetName val="Fane 4.2. Gen. krav - anlæg"/>
      <sheetName val="Fane 5. Individuelt eff. krav"/>
      <sheetName val="Fane 6. Ikke-påvirkelige omk."/>
      <sheetName val="Fane 7. Kontrol af ØR2020"/>
      <sheetName val="Fane 8. Anlægsprojekter"/>
      <sheetName val="Fane 9.1. Varige tillæg"/>
      <sheetName val="Fane 9.2. Engangstillæg"/>
      <sheetName val="Fane 10. Tilknyttet virksomhed"/>
      <sheetName val="Fane 11. Bortfald"/>
      <sheetName val="Fane 12. Nøgletal"/>
    </sheetNames>
    <sheetDataSet>
      <sheetData sheetId="0"/>
      <sheetData sheetId="1">
        <row r="10">
          <cell r="C10">
            <v>74509.30216813086</v>
          </cell>
        </row>
        <row r="11">
          <cell r="C11">
            <v>279349.80328063603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C14">
            <v>3.3E-3</v>
          </cell>
        </row>
      </sheetData>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election activeCell="D6" sqref="D6:G7"/>
    </sheetView>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5" t="s">
        <v>4</v>
      </c>
      <c r="E6" s="95"/>
      <c r="F6" s="95"/>
      <c r="G6" s="95"/>
      <c r="H6" s="3"/>
      <c r="I6" s="1"/>
    </row>
    <row r="7" spans="1:9" ht="15" customHeight="1" x14ac:dyDescent="0.25">
      <c r="A7" s="1"/>
      <c r="B7" s="1"/>
      <c r="C7" s="3"/>
      <c r="D7" s="95"/>
      <c r="E7" s="95"/>
      <c r="F7" s="95"/>
      <c r="G7" s="95"/>
      <c r="H7" s="3"/>
      <c r="I7" s="1"/>
    </row>
    <row r="8" spans="1:9" ht="15.75" x14ac:dyDescent="0.25">
      <c r="A8" s="1"/>
      <c r="B8" s="1"/>
      <c r="C8" s="4"/>
      <c r="D8" s="100" t="s">
        <v>194</v>
      </c>
      <c r="E8" s="100"/>
      <c r="F8" s="100"/>
      <c r="G8" s="100"/>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9" t="s">
        <v>5</v>
      </c>
      <c r="E11" s="99"/>
      <c r="F11" s="99"/>
      <c r="G11" s="99"/>
      <c r="H11" s="5"/>
      <c r="I11" s="1"/>
    </row>
    <row r="12" spans="1:9" x14ac:dyDescent="0.25">
      <c r="A12" s="1"/>
      <c r="B12" s="1"/>
      <c r="C12" s="1"/>
      <c r="D12" s="1"/>
      <c r="E12" s="1"/>
      <c r="F12" s="1"/>
      <c r="G12" s="1"/>
      <c r="H12" s="1"/>
      <c r="I12" s="1"/>
    </row>
    <row r="13" spans="1:9" x14ac:dyDescent="0.25">
      <c r="A13" s="1"/>
      <c r="B13" s="1"/>
      <c r="C13" s="6" t="s">
        <v>6</v>
      </c>
      <c r="D13" s="92" t="s">
        <v>161</v>
      </c>
      <c r="E13" s="93"/>
      <c r="F13" s="93"/>
      <c r="G13" s="94"/>
      <c r="H13" s="1"/>
      <c r="I13" s="1"/>
    </row>
    <row r="14" spans="1:9" x14ac:dyDescent="0.25">
      <c r="A14" s="1"/>
      <c r="B14" s="1"/>
      <c r="C14" s="6" t="s">
        <v>14</v>
      </c>
      <c r="D14" s="92" t="s">
        <v>204</v>
      </c>
      <c r="E14" s="93"/>
      <c r="F14" s="93"/>
      <c r="G14" s="94"/>
      <c r="H14" s="1"/>
      <c r="I14" s="1"/>
    </row>
    <row r="15" spans="1:9" x14ac:dyDescent="0.25">
      <c r="A15" s="1"/>
      <c r="B15" s="1"/>
      <c r="C15" s="6" t="s">
        <v>32</v>
      </c>
      <c r="D15" s="92" t="s">
        <v>137</v>
      </c>
      <c r="E15" s="93"/>
      <c r="F15" s="93"/>
      <c r="G15" s="94"/>
      <c r="H15" s="1"/>
      <c r="I15" s="1"/>
    </row>
    <row r="16" spans="1:9" x14ac:dyDescent="0.25">
      <c r="A16" s="1"/>
      <c r="B16" s="1"/>
      <c r="C16" s="6" t="s">
        <v>33</v>
      </c>
      <c r="D16" s="92" t="s">
        <v>162</v>
      </c>
      <c r="E16" s="93"/>
      <c r="F16" s="93"/>
      <c r="G16" s="94"/>
      <c r="H16" s="1"/>
      <c r="I16" s="1"/>
    </row>
    <row r="17" spans="1:9" x14ac:dyDescent="0.25">
      <c r="A17" s="1"/>
      <c r="B17" s="1"/>
      <c r="C17" s="6" t="s">
        <v>110</v>
      </c>
      <c r="D17" s="92" t="s">
        <v>163</v>
      </c>
      <c r="E17" s="93"/>
      <c r="F17" s="93"/>
      <c r="G17" s="94"/>
      <c r="H17" s="1"/>
      <c r="I17" s="1"/>
    </row>
    <row r="18" spans="1:9" x14ac:dyDescent="0.25">
      <c r="A18" s="1"/>
      <c r="B18" s="1"/>
      <c r="C18" s="6" t="s">
        <v>94</v>
      </c>
      <c r="D18" s="101" t="s">
        <v>86</v>
      </c>
      <c r="E18" s="102"/>
      <c r="F18" s="102"/>
      <c r="G18" s="103"/>
      <c r="H18" s="1"/>
      <c r="I18" s="1"/>
    </row>
    <row r="19" spans="1:9" x14ac:dyDescent="0.25">
      <c r="A19" s="1"/>
      <c r="B19" s="1"/>
      <c r="C19" s="6" t="s">
        <v>95</v>
      </c>
      <c r="D19" s="101" t="s">
        <v>87</v>
      </c>
      <c r="E19" s="102"/>
      <c r="F19" s="102"/>
      <c r="G19" s="103"/>
      <c r="H19" s="1"/>
      <c r="I19" s="1"/>
    </row>
    <row r="20" spans="1:9" x14ac:dyDescent="0.25">
      <c r="A20" s="1"/>
      <c r="B20" s="1"/>
      <c r="C20" s="6" t="s">
        <v>7</v>
      </c>
      <c r="D20" s="101" t="s">
        <v>9</v>
      </c>
      <c r="E20" s="102"/>
      <c r="F20" s="102"/>
      <c r="G20" s="103"/>
      <c r="H20" s="1"/>
      <c r="I20" s="1"/>
    </row>
    <row r="21" spans="1:9" x14ac:dyDescent="0.25">
      <c r="A21" s="1"/>
      <c r="B21" s="1"/>
      <c r="C21" s="6" t="s">
        <v>96</v>
      </c>
      <c r="D21" s="107" t="s">
        <v>11</v>
      </c>
      <c r="E21" s="108"/>
      <c r="F21" s="108"/>
      <c r="G21" s="109"/>
      <c r="H21" s="1"/>
      <c r="I21" s="1"/>
    </row>
    <row r="22" spans="1:9" x14ac:dyDescent="0.25">
      <c r="A22" s="1"/>
      <c r="B22" s="1"/>
      <c r="C22" s="6" t="s">
        <v>78</v>
      </c>
      <c r="D22" s="96" t="s">
        <v>164</v>
      </c>
      <c r="E22" s="97"/>
      <c r="F22" s="97"/>
      <c r="G22" s="98"/>
      <c r="H22" s="1"/>
      <c r="I22" s="1"/>
    </row>
    <row r="23" spans="1:9" x14ac:dyDescent="0.25">
      <c r="A23" s="1"/>
      <c r="B23" s="1"/>
      <c r="C23" s="6" t="s">
        <v>8</v>
      </c>
      <c r="D23" s="96" t="s">
        <v>219</v>
      </c>
      <c r="E23" s="97"/>
      <c r="F23" s="97"/>
      <c r="G23" s="98"/>
      <c r="H23" s="1"/>
      <c r="I23" s="1"/>
    </row>
    <row r="24" spans="1:9" x14ac:dyDescent="0.25">
      <c r="A24" s="1"/>
      <c r="B24" s="1"/>
      <c r="C24" s="6" t="s">
        <v>215</v>
      </c>
      <c r="D24" s="96" t="s">
        <v>205</v>
      </c>
      <c r="E24" s="97"/>
      <c r="F24" s="97"/>
      <c r="G24" s="98"/>
      <c r="H24" s="1"/>
      <c r="I24" s="1"/>
    </row>
    <row r="25" spans="1:9" x14ac:dyDescent="0.25">
      <c r="A25" s="1"/>
      <c r="B25" s="1"/>
      <c r="C25" s="6" t="s">
        <v>216</v>
      </c>
      <c r="D25" s="96" t="s">
        <v>79</v>
      </c>
      <c r="E25" s="97"/>
      <c r="F25" s="97"/>
      <c r="G25" s="98"/>
      <c r="H25" s="1"/>
      <c r="I25" s="1"/>
    </row>
    <row r="26" spans="1:9" x14ac:dyDescent="0.25">
      <c r="A26" s="1"/>
      <c r="B26" s="1"/>
      <c r="C26" s="6" t="s">
        <v>217</v>
      </c>
      <c r="D26" s="96" t="s">
        <v>80</v>
      </c>
      <c r="E26" s="97"/>
      <c r="F26" s="97"/>
      <c r="G26" s="98"/>
      <c r="H26" s="1"/>
      <c r="I26" s="1"/>
    </row>
    <row r="27" spans="1:9" x14ac:dyDescent="0.25">
      <c r="A27" s="1"/>
      <c r="B27" s="1"/>
      <c r="C27" s="6" t="s">
        <v>97</v>
      </c>
      <c r="D27" s="96" t="s">
        <v>111</v>
      </c>
      <c r="E27" s="97"/>
      <c r="F27" s="97"/>
      <c r="G27" s="98"/>
      <c r="H27" s="1"/>
      <c r="I27" s="1"/>
    </row>
    <row r="28" spans="1:9" x14ac:dyDescent="0.25">
      <c r="A28" s="1"/>
      <c r="B28" s="1"/>
      <c r="C28" s="6" t="s">
        <v>91</v>
      </c>
      <c r="D28" s="96" t="s">
        <v>34</v>
      </c>
      <c r="E28" s="97"/>
      <c r="F28" s="97"/>
      <c r="G28" s="98"/>
      <c r="H28" s="1"/>
      <c r="I28" s="1"/>
    </row>
    <row r="29" spans="1:9" x14ac:dyDescent="0.25">
      <c r="A29" s="1"/>
      <c r="B29" s="1"/>
      <c r="C29" s="6" t="s">
        <v>218</v>
      </c>
      <c r="D29" s="104" t="s">
        <v>92</v>
      </c>
      <c r="E29" s="105"/>
      <c r="F29" s="105"/>
      <c r="G29" s="106"/>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55"/>
      <c r="B51" s="55"/>
      <c r="C51" s="55"/>
      <c r="D51" s="55"/>
      <c r="E51" s="55"/>
      <c r="F51" s="55"/>
      <c r="G51" s="55"/>
      <c r="H51" s="55"/>
      <c r="I51" s="55"/>
    </row>
  </sheetData>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3'!A1" display="Samlet økonomisk ramme for 2023" xr:uid="{00000000-0004-0000-0000-000004000000}"/>
    <hyperlink ref="D16:G16" location="'Fane 2.4. Økonomisk ramme 2026'!A1" display="Vejledende økonomisk ramme for 2026" xr:uid="{00000000-0004-0000-0000-000005000000}"/>
    <hyperlink ref="D15:G15" location="'Fane 2.3. Økonomisk ramme 2025'!A1" display="Vejledende økonomisk ramme for 2025" xr:uid="{00000000-0004-0000-0000-000006000000}"/>
    <hyperlink ref="D21:G21" location="'Fane 6. Ikke-påvirkelige omk.'!A1" display="Ikke-påvirkelige omkostninger" xr:uid="{00000000-0004-0000-0000-000007000000}"/>
    <hyperlink ref="D22:G22" location="'Fane 7. Kontrol af ØR2021'!A1" display="Kontrol af den økonomiske ramme for 2021"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2'!A1" display="Omkostninger i ØR2022"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2"/>
  <sheetViews>
    <sheetView showGridLines="0" view="pageLayout" zoomScaleNormal="100" workbookViewId="0">
      <selection activeCell="B3" sqref="B3:D4"/>
    </sheetView>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100</v>
      </c>
      <c r="C3" s="110"/>
      <c r="D3" s="110"/>
      <c r="E3" s="1"/>
      <c r="F3" s="1"/>
    </row>
    <row r="4" spans="1:6" ht="15" customHeight="1" x14ac:dyDescent="0.25">
      <c r="A4" s="1"/>
      <c r="B4" s="110"/>
      <c r="C4" s="110"/>
      <c r="D4" s="11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9" t="s">
        <v>181</v>
      </c>
      <c r="C8" s="130"/>
      <c r="D8" s="131"/>
      <c r="E8" s="1"/>
      <c r="F8" s="1"/>
    </row>
    <row r="9" spans="1:6" ht="15" customHeight="1" x14ac:dyDescent="0.25">
      <c r="A9" s="1"/>
      <c r="B9" s="33" t="s">
        <v>30</v>
      </c>
      <c r="C9" s="11" t="s">
        <v>212</v>
      </c>
      <c r="D9" s="11"/>
      <c r="E9" s="1"/>
      <c r="F9" s="1"/>
    </row>
    <row r="10" spans="1:6" x14ac:dyDescent="0.25">
      <c r="A10" s="1"/>
      <c r="B10" s="82" t="s">
        <v>231</v>
      </c>
      <c r="C10" s="9">
        <v>20615379</v>
      </c>
      <c r="D10" s="14" t="s">
        <v>3</v>
      </c>
      <c r="E10" s="1"/>
      <c r="F10" s="1"/>
    </row>
    <row r="11" spans="1:6" x14ac:dyDescent="0.25">
      <c r="A11" s="1"/>
      <c r="B11" s="82" t="s">
        <v>232</v>
      </c>
      <c r="C11" s="9">
        <v>139859</v>
      </c>
      <c r="D11" s="14" t="s">
        <v>3</v>
      </c>
      <c r="E11" s="1"/>
      <c r="F11" s="1"/>
    </row>
    <row r="12" spans="1:6" x14ac:dyDescent="0.25">
      <c r="A12" s="1"/>
      <c r="B12" s="82" t="s">
        <v>233</v>
      </c>
      <c r="C12" s="9">
        <v>7515840</v>
      </c>
      <c r="D12" s="14" t="s">
        <v>3</v>
      </c>
      <c r="E12" s="1"/>
      <c r="F12" s="1"/>
    </row>
    <row r="13" spans="1:6" x14ac:dyDescent="0.25">
      <c r="A13" s="1"/>
      <c r="B13" s="82" t="s">
        <v>234</v>
      </c>
      <c r="C13" s="9">
        <v>167691</v>
      </c>
      <c r="D13" s="14" t="s">
        <v>3</v>
      </c>
      <c r="E13" s="1"/>
      <c r="F13" s="1"/>
    </row>
    <row r="14" spans="1:6" x14ac:dyDescent="0.25">
      <c r="A14" s="1"/>
      <c r="B14" s="82" t="s">
        <v>235</v>
      </c>
      <c r="C14" s="9">
        <v>10277</v>
      </c>
      <c r="D14" s="14" t="s">
        <v>3</v>
      </c>
      <c r="E14" s="1"/>
      <c r="F14" s="1"/>
    </row>
    <row r="15" spans="1:6" x14ac:dyDescent="0.25">
      <c r="A15" s="1"/>
      <c r="B15" s="26" t="s">
        <v>259</v>
      </c>
      <c r="C15" s="9">
        <v>6107</v>
      </c>
      <c r="D15" s="14" t="s">
        <v>3</v>
      </c>
      <c r="E15" s="1"/>
      <c r="F15" s="1"/>
    </row>
    <row r="16" spans="1:6" x14ac:dyDescent="0.25">
      <c r="A16" s="1"/>
      <c r="B16" s="26" t="s">
        <v>260</v>
      </c>
      <c r="C16" s="9">
        <v>29702.980165453999</v>
      </c>
      <c r="D16" s="14" t="s">
        <v>3</v>
      </c>
      <c r="E16" s="1"/>
      <c r="F16" s="1"/>
    </row>
    <row r="17" spans="1:6" x14ac:dyDescent="0.25">
      <c r="A17" s="1"/>
      <c r="B17" s="74" t="s">
        <v>182</v>
      </c>
      <c r="C17" s="12">
        <f>SUM(C10:C16)</f>
        <v>28484855.980165455</v>
      </c>
      <c r="D17" s="13" t="s">
        <v>3</v>
      </c>
      <c r="E17" s="1"/>
      <c r="F17" s="1"/>
    </row>
    <row r="18" spans="1:6" x14ac:dyDescent="0.25">
      <c r="A18" s="1"/>
      <c r="B18" s="74" t="s">
        <v>183</v>
      </c>
      <c r="C18" s="12">
        <f>C17*(1+'Fane 13. Nøgletal'!C15)^2</f>
        <v>30549078.293028262</v>
      </c>
      <c r="D18" s="13" t="s">
        <v>3</v>
      </c>
      <c r="E18" s="1"/>
      <c r="F18" s="1"/>
    </row>
    <row r="19" spans="1:6" x14ac:dyDescent="0.25">
      <c r="A19" s="1"/>
      <c r="B19" s="16"/>
      <c r="C19" s="15"/>
      <c r="D19" s="15"/>
      <c r="E19" s="1"/>
      <c r="F19" s="1"/>
    </row>
    <row r="20" spans="1:6" x14ac:dyDescent="0.25">
      <c r="A20" s="1"/>
      <c r="B20" s="16"/>
      <c r="C20" s="15"/>
      <c r="D20" s="15"/>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55"/>
      <c r="B51" s="55"/>
      <c r="C51" s="55"/>
      <c r="D51" s="55"/>
      <c r="E51" s="55"/>
      <c r="F51" s="55"/>
    </row>
    <row r="52" spans="1:6" x14ac:dyDescent="0.25">
      <c r="A52" s="55"/>
      <c r="B52" s="55"/>
      <c r="C52" s="55"/>
      <c r="D52" s="55"/>
      <c r="E52" s="55"/>
      <c r="F52" s="55"/>
    </row>
  </sheetData>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2" t="s">
        <v>184</v>
      </c>
      <c r="C3" s="132"/>
      <c r="D3" s="132"/>
      <c r="E3" s="132"/>
      <c r="F3" s="132"/>
      <c r="G3" s="1"/>
    </row>
    <row r="4" spans="1:7" ht="15" customHeight="1" x14ac:dyDescent="0.25">
      <c r="A4" s="1"/>
      <c r="B4" s="132"/>
      <c r="C4" s="132"/>
      <c r="D4" s="132"/>
      <c r="E4" s="132"/>
      <c r="F4" s="132"/>
      <c r="G4" s="1"/>
    </row>
    <row r="5" spans="1:7" ht="15" customHeight="1" x14ac:dyDescent="0.25">
      <c r="A5" s="1"/>
      <c r="B5" s="70"/>
      <c r="C5" s="70"/>
      <c r="D5" s="70"/>
      <c r="E5" s="70"/>
      <c r="F5" s="70"/>
      <c r="G5" s="1"/>
    </row>
    <row r="6" spans="1:7" ht="15" customHeight="1" x14ac:dyDescent="0.25">
      <c r="A6" s="1"/>
      <c r="B6" s="70"/>
      <c r="C6" s="70"/>
      <c r="D6" s="70"/>
      <c r="E6" s="70"/>
      <c r="F6" s="70"/>
      <c r="G6" s="1"/>
    </row>
    <row r="7" spans="1:7" x14ac:dyDescent="0.25">
      <c r="A7" s="1"/>
      <c r="B7" s="1"/>
      <c r="C7" s="1"/>
      <c r="D7" s="1"/>
      <c r="E7" s="1"/>
      <c r="F7" s="1"/>
      <c r="G7" s="1"/>
    </row>
    <row r="8" spans="1:7" x14ac:dyDescent="0.25">
      <c r="A8" s="1"/>
      <c r="B8" s="129" t="s">
        <v>155</v>
      </c>
      <c r="C8" s="130"/>
      <c r="D8" s="130"/>
      <c r="E8" s="130"/>
      <c r="F8" s="131"/>
      <c r="G8" s="1"/>
    </row>
    <row r="9" spans="1:7" x14ac:dyDescent="0.25">
      <c r="A9" s="1"/>
      <c r="B9" s="136" t="s">
        <v>156</v>
      </c>
      <c r="C9" s="137"/>
      <c r="D9" s="138"/>
      <c r="E9" s="9">
        <v>-1049345</v>
      </c>
      <c r="F9" s="14" t="s">
        <v>3</v>
      </c>
      <c r="G9" s="1"/>
    </row>
    <row r="10" spans="1:7" x14ac:dyDescent="0.25">
      <c r="A10" s="1"/>
      <c r="B10" s="151" t="s">
        <v>236</v>
      </c>
      <c r="C10" s="152"/>
      <c r="D10" s="153"/>
      <c r="E10" s="9">
        <v>-489671.07896670327</v>
      </c>
      <c r="F10" s="54" t="s">
        <v>3</v>
      </c>
      <c r="G10" s="1"/>
    </row>
    <row r="11" spans="1:7" x14ac:dyDescent="0.25">
      <c r="A11" s="1"/>
      <c r="B11" s="136" t="s">
        <v>185</v>
      </c>
      <c r="C11" s="137"/>
      <c r="D11" s="138"/>
      <c r="E11" s="9">
        <v>74343.343496091664</v>
      </c>
      <c r="F11" s="14" t="s">
        <v>3</v>
      </c>
      <c r="G11" s="1"/>
    </row>
    <row r="12" spans="1:7" x14ac:dyDescent="0.25">
      <c r="A12" s="1"/>
      <c r="B12" s="74"/>
      <c r="C12" s="75"/>
      <c r="D12" s="75"/>
      <c r="E12" s="75"/>
      <c r="F12" s="19"/>
      <c r="G12" s="1"/>
    </row>
    <row r="13" spans="1:7" ht="64.900000000000006" customHeight="1" x14ac:dyDescent="0.25">
      <c r="A13" s="1"/>
      <c r="B13" s="112" t="s">
        <v>252</v>
      </c>
      <c r="C13" s="113"/>
      <c r="D13" s="113"/>
      <c r="E13" s="113"/>
      <c r="F13" s="114"/>
      <c r="G13" s="1"/>
    </row>
    <row r="14" spans="1:7" ht="27" customHeight="1" x14ac:dyDescent="0.25">
      <c r="A14" s="1"/>
      <c r="B14" s="1"/>
      <c r="C14" s="1"/>
      <c r="D14" s="1"/>
      <c r="E14" s="1"/>
      <c r="F14" s="1"/>
      <c r="G14" s="1"/>
    </row>
    <row r="15" spans="1:7" ht="28.5" customHeight="1" x14ac:dyDescent="0.25">
      <c r="A15" s="1"/>
      <c r="B15" s="129" t="s">
        <v>157</v>
      </c>
      <c r="C15" s="130"/>
      <c r="D15" s="130"/>
      <c r="E15" s="130"/>
      <c r="F15" s="131"/>
      <c r="G15" s="1"/>
    </row>
    <row r="16" spans="1:7" x14ac:dyDescent="0.25">
      <c r="A16" s="1"/>
      <c r="B16" s="136" t="s">
        <v>237</v>
      </c>
      <c r="C16" s="137"/>
      <c r="D16" s="138"/>
      <c r="E16" s="9">
        <v>0</v>
      </c>
      <c r="F16" s="14" t="s">
        <v>3</v>
      </c>
      <c r="G16" s="1"/>
    </row>
    <row r="17" spans="1:7" x14ac:dyDescent="0.25">
      <c r="A17" s="1"/>
      <c r="B17" s="136" t="s">
        <v>238</v>
      </c>
      <c r="C17" s="137"/>
      <c r="D17" s="138"/>
      <c r="E17" s="9">
        <v>0</v>
      </c>
      <c r="F17" s="14" t="s">
        <v>3</v>
      </c>
      <c r="G17" s="1"/>
    </row>
    <row r="18" spans="1:7" x14ac:dyDescent="0.25">
      <c r="A18" s="1"/>
      <c r="B18" s="74"/>
      <c r="C18" s="75"/>
      <c r="D18" s="75"/>
      <c r="E18" s="75"/>
      <c r="F18" s="19"/>
      <c r="G18" s="1"/>
    </row>
    <row r="19" spans="1:7" ht="31.5" customHeight="1" x14ac:dyDescent="0.25">
      <c r="A19" s="1"/>
      <c r="B19" s="112" t="s">
        <v>158</v>
      </c>
      <c r="C19" s="113"/>
      <c r="D19" s="113"/>
      <c r="E19" s="113"/>
      <c r="F19" s="114"/>
      <c r="G19" s="1"/>
    </row>
    <row r="20" spans="1:7" ht="28.5" customHeight="1" x14ac:dyDescent="0.25">
      <c r="A20" s="1"/>
      <c r="B20" s="1"/>
      <c r="C20" s="1"/>
      <c r="D20" s="1"/>
      <c r="E20" s="1"/>
      <c r="F20" s="1"/>
      <c r="G20" s="1"/>
    </row>
    <row r="21" spans="1:7" ht="28.5" customHeight="1" x14ac:dyDescent="0.25">
      <c r="A21" s="1"/>
      <c r="B21" s="76" t="s">
        <v>186</v>
      </c>
      <c r="C21" s="77"/>
      <c r="D21" s="77"/>
      <c r="E21" s="77"/>
      <c r="F21" s="78"/>
      <c r="G21" s="1"/>
    </row>
    <row r="22" spans="1:7" x14ac:dyDescent="0.25">
      <c r="A22" s="1"/>
      <c r="B22" s="79" t="s">
        <v>239</v>
      </c>
      <c r="C22" s="80"/>
      <c r="D22" s="81"/>
      <c r="E22" s="9">
        <v>56563595.285054192</v>
      </c>
      <c r="F22" s="14" t="s">
        <v>3</v>
      </c>
      <c r="G22" s="1"/>
    </row>
    <row r="23" spans="1:7" x14ac:dyDescent="0.25">
      <c r="A23" s="1"/>
      <c r="B23" s="79" t="s">
        <v>187</v>
      </c>
      <c r="C23" s="80"/>
      <c r="D23" s="81"/>
      <c r="E23" s="9">
        <v>59238615</v>
      </c>
      <c r="F23" s="14" t="s">
        <v>3</v>
      </c>
      <c r="G23" s="1"/>
    </row>
    <row r="24" spans="1:7" x14ac:dyDescent="0.25">
      <c r="A24" s="1"/>
      <c r="B24" s="79" t="s">
        <v>31</v>
      </c>
      <c r="C24" s="80"/>
      <c r="D24" s="81"/>
      <c r="E24" s="9">
        <v>0</v>
      </c>
      <c r="F24" s="14" t="s">
        <v>3</v>
      </c>
      <c r="G24" s="1"/>
    </row>
    <row r="25" spans="1:7" x14ac:dyDescent="0.25">
      <c r="A25" s="1"/>
      <c r="B25" s="51" t="s">
        <v>255</v>
      </c>
      <c r="C25" s="52"/>
      <c r="D25" s="53"/>
      <c r="E25" s="57">
        <f>E22-(E23-E24)</f>
        <v>-2675019.7149458081</v>
      </c>
      <c r="F25" s="17" t="s">
        <v>3</v>
      </c>
      <c r="G25" s="1"/>
    </row>
    <row r="26" spans="1:7" x14ac:dyDescent="0.25">
      <c r="A26" s="1"/>
      <c r="B26" s="74"/>
      <c r="C26" s="75"/>
      <c r="D26" s="75"/>
      <c r="E26" s="75"/>
      <c r="F26" s="19"/>
      <c r="G26" s="1"/>
    </row>
    <row r="27" spans="1:7" x14ac:dyDescent="0.25">
      <c r="A27" s="1"/>
      <c r="B27" s="1"/>
      <c r="C27" s="1"/>
      <c r="D27" s="1"/>
      <c r="E27" s="1"/>
      <c r="F27" s="1"/>
      <c r="G27" s="1"/>
    </row>
    <row r="28" spans="1:7" ht="28.5" customHeight="1" x14ac:dyDescent="0.25">
      <c r="A28" s="1"/>
      <c r="B28" s="129" t="s">
        <v>240</v>
      </c>
      <c r="C28" s="130"/>
      <c r="D28" s="130"/>
      <c r="E28" s="130"/>
      <c r="F28" s="131"/>
      <c r="G28" s="1"/>
    </row>
    <row r="29" spans="1:7" x14ac:dyDescent="0.25">
      <c r="A29" s="1"/>
      <c r="B29" s="154" t="s">
        <v>128</v>
      </c>
      <c r="C29" s="155"/>
      <c r="D29" s="156"/>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-2675019.7149458081</v>
      </c>
      <c r="F29" s="14" t="s">
        <v>3</v>
      </c>
      <c r="G29" s="1"/>
    </row>
    <row r="30" spans="1:7" x14ac:dyDescent="0.25">
      <c r="A30" s="1"/>
      <c r="B30" s="154" t="s">
        <v>93</v>
      </c>
      <c r="C30" s="155"/>
      <c r="D30" s="156"/>
      <c r="E30" s="9">
        <v>2</v>
      </c>
      <c r="F30" s="14" t="s">
        <v>18</v>
      </c>
      <c r="G30" s="1"/>
    </row>
    <row r="31" spans="1:7" x14ac:dyDescent="0.25">
      <c r="A31" s="1"/>
      <c r="B31" s="147" t="s">
        <v>127</v>
      </c>
      <c r="C31" s="147"/>
      <c r="D31" s="147"/>
      <c r="E31" s="10">
        <f>E29/E30</f>
        <v>-1337509.857472904</v>
      </c>
      <c r="F31" s="17" t="s">
        <v>3</v>
      </c>
      <c r="G31" s="1"/>
    </row>
    <row r="32" spans="1:7" x14ac:dyDescent="0.25">
      <c r="A32" s="1"/>
      <c r="B32" s="148"/>
      <c r="C32" s="149"/>
      <c r="D32" s="149"/>
      <c r="E32" s="149"/>
      <c r="F32" s="15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9"/>
  <dimension ref="A1:I42"/>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0" t="s">
        <v>226</v>
      </c>
      <c r="C3" s="110"/>
      <c r="D3" s="110"/>
      <c r="E3" s="110"/>
      <c r="F3" s="110"/>
      <c r="G3" s="110"/>
      <c r="H3" s="110"/>
      <c r="I3" s="1"/>
    </row>
    <row r="4" spans="1:9" ht="15" customHeight="1" x14ac:dyDescent="0.25">
      <c r="A4" s="1"/>
      <c r="B4" s="110"/>
      <c r="C4" s="110"/>
      <c r="D4" s="110"/>
      <c r="E4" s="110"/>
      <c r="F4" s="110"/>
      <c r="G4" s="110"/>
      <c r="H4" s="11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9" t="s">
        <v>227</v>
      </c>
      <c r="C8" s="130"/>
      <c r="D8" s="130"/>
      <c r="E8" s="130"/>
      <c r="F8" s="130"/>
      <c r="G8" s="130"/>
      <c r="H8" s="131"/>
      <c r="I8" s="1"/>
    </row>
    <row r="9" spans="1:9" ht="15" customHeight="1" x14ac:dyDescent="0.25">
      <c r="A9" s="1"/>
      <c r="B9" s="121" t="s">
        <v>228</v>
      </c>
      <c r="C9" s="122"/>
      <c r="D9" s="122"/>
      <c r="E9" s="122"/>
      <c r="F9" s="122"/>
      <c r="G9" s="122"/>
      <c r="H9" s="123"/>
      <c r="I9" s="1"/>
    </row>
    <row r="10" spans="1:9" x14ac:dyDescent="0.25">
      <c r="A10" s="1"/>
      <c r="B10" s="157" t="s">
        <v>243</v>
      </c>
      <c r="C10" s="158"/>
      <c r="D10" s="158"/>
      <c r="E10" s="158"/>
      <c r="F10" s="159"/>
      <c r="G10" s="56">
        <v>0</v>
      </c>
      <c r="H10" s="9" t="s">
        <v>3</v>
      </c>
      <c r="I10" s="1"/>
    </row>
    <row r="11" spans="1:9" x14ac:dyDescent="0.25">
      <c r="A11" s="1"/>
      <c r="B11" s="157" t="s">
        <v>244</v>
      </c>
      <c r="C11" s="158"/>
      <c r="D11" s="158"/>
      <c r="E11" s="158"/>
      <c r="F11" s="159"/>
      <c r="G11" s="56">
        <v>0</v>
      </c>
      <c r="H11" s="9" t="s">
        <v>3</v>
      </c>
      <c r="I11" s="1"/>
    </row>
    <row r="12" spans="1:9" x14ac:dyDescent="0.25">
      <c r="A12" s="1"/>
      <c r="B12" s="157" t="s">
        <v>245</v>
      </c>
      <c r="C12" s="158"/>
      <c r="D12" s="158"/>
      <c r="E12" s="158"/>
      <c r="F12" s="159"/>
      <c r="G12" s="9">
        <v>0</v>
      </c>
      <c r="H12" s="9" t="s">
        <v>3</v>
      </c>
      <c r="I12" s="1"/>
    </row>
    <row r="13" spans="1:9" x14ac:dyDescent="0.25">
      <c r="A13" s="1"/>
      <c r="B13" s="157" t="s">
        <v>246</v>
      </c>
      <c r="C13" s="158"/>
      <c r="D13" s="158"/>
      <c r="E13" s="158"/>
      <c r="F13" s="159"/>
      <c r="G13" s="9">
        <v>0</v>
      </c>
      <c r="H13" s="9" t="s">
        <v>3</v>
      </c>
      <c r="I13" s="1"/>
    </row>
    <row r="14" spans="1:9" x14ac:dyDescent="0.25">
      <c r="A14" s="1"/>
      <c r="B14" s="157" t="s">
        <v>247</v>
      </c>
      <c r="C14" s="158"/>
      <c r="D14" s="158"/>
      <c r="E14" s="158"/>
      <c r="F14" s="159"/>
      <c r="G14" s="9">
        <v>0</v>
      </c>
      <c r="H14" s="9" t="s">
        <v>3</v>
      </c>
      <c r="I14" s="1"/>
    </row>
    <row r="15" spans="1:9" x14ac:dyDescent="0.25">
      <c r="A15" s="1"/>
      <c r="B15" s="157" t="s">
        <v>248</v>
      </c>
      <c r="C15" s="158"/>
      <c r="D15" s="158"/>
      <c r="E15" s="158"/>
      <c r="F15" s="159"/>
      <c r="G15" s="9">
        <v>0</v>
      </c>
      <c r="H15" s="9" t="s">
        <v>3</v>
      </c>
      <c r="I15" s="1"/>
    </row>
    <row r="16" spans="1:9" x14ac:dyDescent="0.25">
      <c r="A16" s="1"/>
      <c r="B16" s="157" t="s">
        <v>249</v>
      </c>
      <c r="C16" s="158"/>
      <c r="D16" s="158"/>
      <c r="E16" s="158"/>
      <c r="F16" s="159"/>
      <c r="G16" s="9">
        <v>0</v>
      </c>
      <c r="H16" s="9" t="s">
        <v>3</v>
      </c>
      <c r="I16" s="1"/>
    </row>
    <row r="17" spans="1:9" x14ac:dyDescent="0.25">
      <c r="A17" s="1"/>
      <c r="B17" s="157" t="s">
        <v>250</v>
      </c>
      <c r="C17" s="158"/>
      <c r="D17" s="158"/>
      <c r="E17" s="158"/>
      <c r="F17" s="159"/>
      <c r="G17" s="9">
        <v>0</v>
      </c>
      <c r="H17" s="9" t="s">
        <v>3</v>
      </c>
      <c r="I17" s="1"/>
    </row>
    <row r="18" spans="1:9" x14ac:dyDescent="0.25">
      <c r="A18" s="1"/>
      <c r="B18" s="129" t="s">
        <v>229</v>
      </c>
      <c r="C18" s="130"/>
      <c r="D18" s="130"/>
      <c r="E18" s="130"/>
      <c r="F18" s="131"/>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3"/>
  <sheetViews>
    <sheetView showGridLines="0" view="pageLayout" zoomScaleNormal="100" workbookViewId="0"/>
  </sheetViews>
  <sheetFormatPr defaultColWidth="9" defaultRowHeight="15" x14ac:dyDescent="0.25"/>
  <cols>
    <col min="1" max="1" width="2.42578125" style="2" customWidth="1"/>
    <col min="2" max="2" width="24"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2.14062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0" t="s">
        <v>220</v>
      </c>
      <c r="C3" s="110"/>
      <c r="D3" s="110"/>
      <c r="E3" s="110"/>
      <c r="F3" s="110"/>
      <c r="G3" s="110"/>
      <c r="H3" s="110"/>
      <c r="I3" s="110"/>
      <c r="J3" s="110"/>
      <c r="K3" s="110"/>
      <c r="L3" s="1"/>
    </row>
    <row r="4" spans="1:12" ht="15" customHeight="1" x14ac:dyDescent="0.25">
      <c r="A4" s="1"/>
      <c r="B4" s="110"/>
      <c r="C4" s="110"/>
      <c r="D4" s="110"/>
      <c r="E4" s="110"/>
      <c r="F4" s="110"/>
      <c r="G4" s="110"/>
      <c r="H4" s="110"/>
      <c r="I4" s="110"/>
      <c r="J4" s="110"/>
      <c r="K4" s="11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9" t="s">
        <v>192</v>
      </c>
      <c r="C8" s="130"/>
      <c r="D8" s="130"/>
      <c r="E8" s="130"/>
      <c r="F8" s="130"/>
      <c r="G8" s="130"/>
      <c r="H8" s="130"/>
      <c r="I8" s="130"/>
      <c r="J8" s="130"/>
      <c r="K8" s="131"/>
      <c r="L8" s="1"/>
    </row>
    <row r="9" spans="1:12" ht="39.75" customHeight="1" x14ac:dyDescent="0.25">
      <c r="A9" s="1"/>
      <c r="B9" s="18" t="s">
        <v>0</v>
      </c>
      <c r="C9" s="18" t="s">
        <v>1</v>
      </c>
      <c r="D9" s="160" t="s">
        <v>213</v>
      </c>
      <c r="E9" s="161"/>
      <c r="F9" s="160" t="s">
        <v>2</v>
      </c>
      <c r="G9" s="161"/>
      <c r="H9" s="160" t="s">
        <v>214</v>
      </c>
      <c r="I9" s="161"/>
      <c r="J9" s="160" t="s">
        <v>28</v>
      </c>
      <c r="K9" s="161"/>
      <c r="L9" s="1"/>
    </row>
    <row r="10" spans="1:12" x14ac:dyDescent="0.25">
      <c r="A10" s="1"/>
      <c r="B10" s="84" t="s">
        <v>230</v>
      </c>
      <c r="C10" s="29">
        <v>0</v>
      </c>
      <c r="D10" s="9">
        <v>0</v>
      </c>
      <c r="E10" s="14" t="s">
        <v>3</v>
      </c>
      <c r="F10" s="39">
        <f>IFERROR(D10/C10,0)</f>
        <v>0</v>
      </c>
      <c r="G10" s="14" t="s">
        <v>3</v>
      </c>
      <c r="H10" s="9">
        <v>0</v>
      </c>
      <c r="I10" s="14" t="s">
        <v>3</v>
      </c>
      <c r="J10" s="9">
        <v>0</v>
      </c>
      <c r="K10" s="14" t="s">
        <v>3</v>
      </c>
      <c r="L10" s="1"/>
    </row>
    <row r="11" spans="1:12" x14ac:dyDescent="0.25">
      <c r="A11" s="1"/>
      <c r="B11" s="74" t="s">
        <v>193</v>
      </c>
      <c r="C11" s="75"/>
      <c r="D11" s="19"/>
      <c r="E11" s="78"/>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55"/>
      <c r="B47" s="55"/>
      <c r="C47" s="55"/>
      <c r="D47" s="55"/>
      <c r="E47" s="55"/>
      <c r="F47" s="55"/>
      <c r="G47" s="55"/>
      <c r="H47" s="55"/>
      <c r="I47" s="55"/>
      <c r="J47" s="55"/>
      <c r="K47" s="55"/>
      <c r="L47" s="55"/>
    </row>
    <row r="48" spans="1:12" x14ac:dyDescent="0.25">
      <c r="A48" s="55"/>
      <c r="B48" s="55"/>
      <c r="C48" s="55"/>
      <c r="D48" s="55"/>
      <c r="E48" s="55"/>
      <c r="F48" s="55"/>
      <c r="G48" s="55"/>
      <c r="H48" s="55"/>
      <c r="I48" s="55"/>
      <c r="J48" s="55"/>
      <c r="K48" s="55"/>
      <c r="L48" s="55"/>
    </row>
    <row r="49" spans="1:12" x14ac:dyDescent="0.25">
      <c r="A49" s="55"/>
      <c r="B49" s="55"/>
      <c r="C49" s="55"/>
      <c r="D49" s="55"/>
      <c r="E49" s="55"/>
      <c r="F49" s="55"/>
      <c r="G49" s="55"/>
      <c r="H49" s="55"/>
      <c r="I49" s="55"/>
      <c r="J49" s="55"/>
      <c r="K49" s="55"/>
      <c r="L49" s="55"/>
    </row>
    <row r="50" spans="1:12" x14ac:dyDescent="0.25">
      <c r="A50" s="55"/>
      <c r="B50" s="55"/>
      <c r="C50" s="55"/>
      <c r="D50" s="55"/>
      <c r="E50" s="55"/>
      <c r="F50" s="55"/>
      <c r="G50" s="55"/>
      <c r="H50" s="55"/>
      <c r="I50" s="55"/>
      <c r="J50" s="55"/>
      <c r="K50" s="55"/>
      <c r="L50" s="55"/>
    </row>
    <row r="51" spans="1:12" x14ac:dyDescent="0.25">
      <c r="A51" s="55"/>
      <c r="B51" s="55"/>
      <c r="C51" s="55"/>
      <c r="D51" s="55"/>
      <c r="E51" s="55"/>
      <c r="F51" s="55"/>
      <c r="G51" s="55"/>
      <c r="H51" s="55"/>
      <c r="I51" s="55"/>
      <c r="J51" s="55"/>
      <c r="K51" s="55"/>
      <c r="L51" s="55"/>
    </row>
    <row r="52" spans="1:12" x14ac:dyDescent="0.25">
      <c r="A52" s="55"/>
      <c r="B52" s="55"/>
      <c r="C52" s="55"/>
      <c r="D52" s="55"/>
      <c r="E52" s="55"/>
      <c r="F52" s="55"/>
      <c r="G52" s="55"/>
      <c r="H52" s="55"/>
      <c r="I52" s="55"/>
      <c r="J52" s="55"/>
      <c r="K52" s="55"/>
      <c r="L52" s="55"/>
    </row>
    <row r="53" spans="1:12" x14ac:dyDescent="0.25">
      <c r="A53" s="55"/>
      <c r="B53" s="55"/>
      <c r="C53" s="55"/>
      <c r="D53" s="55"/>
      <c r="E53" s="55"/>
      <c r="F53" s="55"/>
      <c r="G53" s="55"/>
      <c r="H53" s="55"/>
      <c r="I53" s="55"/>
      <c r="J53" s="55"/>
      <c r="K53" s="55"/>
      <c r="L53" s="55"/>
    </row>
  </sheetData>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0"/>
  <sheetViews>
    <sheetView showGridLines="0" view="pageLayout" zoomScaleNormal="100" workbookViewId="0">
      <selection activeCell="B3" sqref="B3:F4"/>
    </sheetView>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221</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4" t="s">
        <v>75</v>
      </c>
      <c r="C8" s="75"/>
      <c r="D8" s="75"/>
      <c r="E8" s="75"/>
      <c r="F8" s="19"/>
      <c r="G8" s="1"/>
    </row>
    <row r="9" spans="1:7" ht="17.25" customHeight="1" x14ac:dyDescent="0.25">
      <c r="A9" s="1"/>
      <c r="B9" s="72" t="s">
        <v>15</v>
      </c>
      <c r="C9" s="72" t="s">
        <v>10</v>
      </c>
      <c r="D9" s="73"/>
      <c r="E9" s="72" t="s">
        <v>29</v>
      </c>
      <c r="F9" s="69"/>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253</v>
      </c>
      <c r="C11" s="21">
        <v>621375</v>
      </c>
      <c r="D11" s="14" t="s">
        <v>3</v>
      </c>
      <c r="E11" s="9">
        <v>0</v>
      </c>
      <c r="F11" s="14" t="s">
        <v>3</v>
      </c>
      <c r="G11" s="1"/>
    </row>
    <row r="12" spans="1:7" x14ac:dyDescent="0.25">
      <c r="A12" s="1"/>
      <c r="B12" s="26" t="s">
        <v>251</v>
      </c>
      <c r="C12" s="21">
        <v>71170</v>
      </c>
      <c r="D12" s="14" t="s">
        <v>3</v>
      </c>
      <c r="E12" s="9">
        <f>145593+115876</f>
        <v>261469</v>
      </c>
      <c r="F12" s="14" t="s">
        <v>3</v>
      </c>
      <c r="G12" s="1"/>
    </row>
    <row r="13" spans="1:7" x14ac:dyDescent="0.25">
      <c r="A13" s="1"/>
      <c r="B13" s="26" t="s">
        <v>259</v>
      </c>
      <c r="C13" s="21">
        <v>31122.245550666663</v>
      </c>
      <c r="D13" s="14" t="s">
        <v>3</v>
      </c>
      <c r="E13" s="9">
        <v>5166.9462394761922</v>
      </c>
      <c r="F13" s="14" t="s">
        <v>3</v>
      </c>
      <c r="G13" s="1"/>
    </row>
    <row r="14" spans="1:7" x14ac:dyDescent="0.25">
      <c r="A14" s="1"/>
      <c r="B14" s="26" t="s">
        <v>260</v>
      </c>
      <c r="C14" s="21">
        <v>91450.124059796028</v>
      </c>
      <c r="D14" s="14" t="s">
        <v>3</v>
      </c>
      <c r="E14" s="9">
        <v>26517.651937059658</v>
      </c>
      <c r="F14" s="14" t="s">
        <v>3</v>
      </c>
      <c r="G14" s="1"/>
    </row>
    <row r="15" spans="1:7" x14ac:dyDescent="0.25">
      <c r="A15" s="1"/>
      <c r="B15" s="74" t="s">
        <v>148</v>
      </c>
      <c r="C15" s="12">
        <f>SUM(C10:C14)</f>
        <v>815117.36961046269</v>
      </c>
      <c r="D15" s="13" t="s">
        <v>3</v>
      </c>
      <c r="E15" s="12">
        <f>SUM(E10:E14)</f>
        <v>293153.59817653586</v>
      </c>
      <c r="F15" s="13" t="s">
        <v>3</v>
      </c>
      <c r="G15" s="1"/>
    </row>
    <row r="16" spans="1:7" x14ac:dyDescent="0.25">
      <c r="A16" s="1"/>
      <c r="B16" s="74" t="s">
        <v>188</v>
      </c>
      <c r="C16" s="12">
        <f>C15*(1+'Fane 13. Nøgletal'!C15)</f>
        <v>844135.54796859517</v>
      </c>
      <c r="D16" s="13" t="s">
        <v>3</v>
      </c>
      <c r="E16" s="12">
        <f>E15*(1+'Fane 13. Nøgletal'!C15)</f>
        <v>303589.86627162056</v>
      </c>
      <c r="F16" s="13" t="s">
        <v>3</v>
      </c>
      <c r="G16" s="1"/>
    </row>
    <row r="17" spans="1:7" x14ac:dyDescent="0.25">
      <c r="A17" s="1"/>
      <c r="B17" s="1"/>
      <c r="C17" s="1" t="s">
        <v>210</v>
      </c>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222</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9" t="s">
        <v>88</v>
      </c>
      <c r="C9" s="130"/>
      <c r="D9" s="130"/>
      <c r="E9" s="130"/>
      <c r="F9" s="131"/>
      <c r="G9" s="1"/>
    </row>
    <row r="10" spans="1:7" ht="26.25" x14ac:dyDescent="0.25">
      <c r="A10" s="1"/>
      <c r="B10" s="72" t="s">
        <v>15</v>
      </c>
      <c r="C10" s="72" t="s">
        <v>10</v>
      </c>
      <c r="D10" s="73"/>
      <c r="E10" s="72" t="s">
        <v>29</v>
      </c>
      <c r="F10" s="69"/>
      <c r="G10" s="1"/>
    </row>
    <row r="11" spans="1:7" x14ac:dyDescent="0.25">
      <c r="A11" s="1"/>
      <c r="B11" s="22" t="s">
        <v>254</v>
      </c>
      <c r="C11" s="21">
        <v>0</v>
      </c>
      <c r="D11" s="14" t="s">
        <v>3</v>
      </c>
      <c r="E11" s="9">
        <v>0</v>
      </c>
      <c r="F11" s="14" t="s">
        <v>3</v>
      </c>
      <c r="G11" s="1"/>
    </row>
    <row r="12" spans="1:7" x14ac:dyDescent="0.25">
      <c r="A12" s="1"/>
      <c r="B12" s="74" t="s">
        <v>195</v>
      </c>
      <c r="C12" s="12">
        <f>SUM(C11:C11)</f>
        <v>0</v>
      </c>
      <c r="D12" s="13" t="s">
        <v>3</v>
      </c>
      <c r="E12" s="12">
        <f>SUM(E11:E11)</f>
        <v>0</v>
      </c>
      <c r="F12" s="13" t="s">
        <v>3</v>
      </c>
      <c r="G12" s="1"/>
    </row>
    <row r="13" spans="1:7" x14ac:dyDescent="0.25">
      <c r="A13" s="1"/>
      <c r="B13" s="74"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2" t="s">
        <v>223</v>
      </c>
      <c r="C3" s="132"/>
      <c r="D3" s="132"/>
      <c r="E3" s="132"/>
      <c r="F3" s="132"/>
      <c r="G3" s="1"/>
    </row>
    <row r="4" spans="1:7" ht="25.5" customHeight="1" x14ac:dyDescent="0.25">
      <c r="A4" s="1"/>
      <c r="B4" s="132"/>
      <c r="C4" s="132"/>
      <c r="D4" s="132"/>
      <c r="E4" s="132"/>
      <c r="F4" s="13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9" t="s">
        <v>112</v>
      </c>
      <c r="C8" s="130"/>
      <c r="D8" s="130"/>
      <c r="E8" s="130"/>
      <c r="F8" s="131"/>
      <c r="G8" s="1"/>
    </row>
    <row r="9" spans="1:7" ht="15" customHeight="1" x14ac:dyDescent="0.25">
      <c r="A9" s="1"/>
      <c r="B9" s="68" t="s">
        <v>113</v>
      </c>
      <c r="C9" s="121" t="s">
        <v>10</v>
      </c>
      <c r="D9" s="123"/>
      <c r="E9" s="121" t="s">
        <v>29</v>
      </c>
      <c r="F9" s="123"/>
      <c r="G9" s="1"/>
    </row>
    <row r="10" spans="1:7" x14ac:dyDescent="0.25">
      <c r="A10" s="1"/>
      <c r="B10" s="22" t="s">
        <v>241</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1"/>
  <sheetViews>
    <sheetView showGridLines="0" view="pageLayout" zoomScaleNormal="100" workbookViewId="0"/>
  </sheetViews>
  <sheetFormatPr defaultColWidth="9" defaultRowHeight="15" x14ac:dyDescent="0.25"/>
  <cols>
    <col min="1" max="1" width="2.42578125" style="2" customWidth="1"/>
    <col min="2" max="2" width="36.28515625" style="2" customWidth="1"/>
    <col min="3" max="3" width="17" style="2" customWidth="1"/>
    <col min="4" max="4" width="3.28515625" style="2" customWidth="1"/>
    <col min="5" max="5" width="18.85546875" style="2" customWidth="1"/>
    <col min="6" max="6" width="3.28515625" style="2" customWidth="1"/>
    <col min="7" max="7" width="2.425781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2" t="s">
        <v>224</v>
      </c>
      <c r="C3" s="132"/>
      <c r="D3" s="132"/>
      <c r="E3" s="132"/>
      <c r="F3" s="132"/>
      <c r="G3" s="1"/>
    </row>
    <row r="4" spans="1:7" ht="25.5" customHeight="1" x14ac:dyDescent="0.25">
      <c r="A4" s="1"/>
      <c r="B4" s="132"/>
      <c r="C4" s="132"/>
      <c r="D4" s="132"/>
      <c r="E4" s="132"/>
      <c r="F4" s="13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9" t="s">
        <v>85</v>
      </c>
      <c r="C10" s="130"/>
      <c r="D10" s="130"/>
      <c r="E10" s="130"/>
      <c r="F10" s="131"/>
      <c r="G10" s="1"/>
    </row>
    <row r="11" spans="1:7" x14ac:dyDescent="0.25">
      <c r="A11" s="1"/>
      <c r="B11" s="68" t="s">
        <v>16</v>
      </c>
      <c r="C11" s="68" t="s">
        <v>10</v>
      </c>
      <c r="D11" s="69"/>
      <c r="E11" s="68" t="s">
        <v>29</v>
      </c>
      <c r="F11" s="69"/>
      <c r="G11" s="1"/>
    </row>
    <row r="12" spans="1:7" x14ac:dyDescent="0.25">
      <c r="A12" s="1"/>
      <c r="B12" s="22" t="s">
        <v>242</v>
      </c>
      <c r="C12" s="9">
        <v>0</v>
      </c>
      <c r="D12" s="14" t="s">
        <v>3</v>
      </c>
      <c r="E12" s="9">
        <v>0</v>
      </c>
      <c r="F12" s="14" t="s">
        <v>3</v>
      </c>
      <c r="G12" s="1"/>
    </row>
    <row r="13" spans="1:7" x14ac:dyDescent="0.25">
      <c r="A13" s="1"/>
      <c r="B13" s="74" t="s">
        <v>196</v>
      </c>
      <c r="C13" s="12">
        <f>SUM(C12:C12)</f>
        <v>0</v>
      </c>
      <c r="D13" s="13" t="s">
        <v>3</v>
      </c>
      <c r="E13" s="12">
        <f>SUM(E12:E12)</f>
        <v>0</v>
      </c>
      <c r="F13" s="13" t="s">
        <v>3</v>
      </c>
      <c r="G13" s="1"/>
    </row>
    <row r="14" spans="1:7" x14ac:dyDescent="0.25">
      <c r="A14" s="1"/>
      <c r="B14" s="74"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32" t="s">
        <v>225</v>
      </c>
      <c r="C3" s="132"/>
      <c r="D3" s="1"/>
    </row>
    <row r="4" spans="1:4" ht="25.5" customHeight="1" x14ac:dyDescent="0.25">
      <c r="A4" s="1"/>
      <c r="B4" s="132"/>
      <c r="C4" s="132"/>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74" t="s">
        <v>13</v>
      </c>
      <c r="C8" s="45"/>
      <c r="D8" s="1"/>
    </row>
    <row r="9" spans="1:4" x14ac:dyDescent="0.25">
      <c r="A9" s="1"/>
      <c r="B9" s="82" t="s">
        <v>101</v>
      </c>
      <c r="C9" s="46">
        <v>1.2699999999999999E-2</v>
      </c>
      <c r="D9" s="1"/>
    </row>
    <row r="10" spans="1:4" x14ac:dyDescent="0.25">
      <c r="A10" s="1"/>
      <c r="B10" s="82" t="s">
        <v>21</v>
      </c>
      <c r="C10" s="46">
        <v>1.7500000000000002E-2</v>
      </c>
      <c r="D10" s="1"/>
    </row>
    <row r="11" spans="1:4" x14ac:dyDescent="0.25">
      <c r="A11" s="1"/>
      <c r="B11" s="82"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9"/>
      <c r="C16" s="131"/>
      <c r="D16" s="1"/>
    </row>
    <row r="17" spans="1:4" x14ac:dyDescent="0.25">
      <c r="A17" s="1"/>
      <c r="B17" s="1"/>
      <c r="C17" s="44"/>
      <c r="D17" s="1"/>
    </row>
    <row r="18" spans="1:4" x14ac:dyDescent="0.25">
      <c r="A18" s="1"/>
      <c r="B18" s="1"/>
      <c r="C18" s="44"/>
      <c r="D18" s="1"/>
    </row>
    <row r="19" spans="1:4" x14ac:dyDescent="0.25">
      <c r="A19" s="1"/>
      <c r="B19" s="74" t="s">
        <v>89</v>
      </c>
      <c r="C19" s="45"/>
      <c r="D19" s="1"/>
    </row>
    <row r="20" spans="1:4" x14ac:dyDescent="0.25">
      <c r="A20" s="1"/>
      <c r="B20" s="82" t="s">
        <v>103</v>
      </c>
      <c r="C20" s="48">
        <v>9.1000000000000004E-3</v>
      </c>
      <c r="D20" s="1"/>
    </row>
    <row r="21" spans="1:4" x14ac:dyDescent="0.25">
      <c r="A21" s="1"/>
      <c r="B21" s="82" t="s">
        <v>104</v>
      </c>
      <c r="C21" s="48">
        <v>1.77E-2</v>
      </c>
      <c r="D21" s="1"/>
    </row>
    <row r="22" spans="1:4" x14ac:dyDescent="0.25">
      <c r="A22" s="1"/>
      <c r="B22" s="82" t="s">
        <v>105</v>
      </c>
      <c r="C22" s="48">
        <v>8.6999999999999994E-3</v>
      </c>
      <c r="D22" s="1"/>
    </row>
    <row r="23" spans="1:4" x14ac:dyDescent="0.25">
      <c r="A23" s="1"/>
      <c r="B23" s="82" t="s">
        <v>106</v>
      </c>
      <c r="C23" s="48">
        <v>2.8399999999999998E-2</v>
      </c>
      <c r="D23" s="1"/>
    </row>
    <row r="24" spans="1:4" x14ac:dyDescent="0.25">
      <c r="A24" s="1"/>
      <c r="B24" s="82" t="s">
        <v>120</v>
      </c>
      <c r="C24" s="48">
        <v>2.75E-2</v>
      </c>
      <c r="D24" s="1"/>
    </row>
    <row r="25" spans="1:4" x14ac:dyDescent="0.25">
      <c r="A25" s="1"/>
      <c r="B25" s="82" t="s">
        <v>151</v>
      </c>
      <c r="C25" s="48">
        <v>1.4800000000000001E-2</v>
      </c>
      <c r="D25" s="1"/>
    </row>
    <row r="26" spans="1:4" x14ac:dyDescent="0.25">
      <c r="A26" s="1"/>
      <c r="B26" s="24" t="s">
        <v>191</v>
      </c>
      <c r="C26" s="48">
        <v>0</v>
      </c>
      <c r="D26" s="1"/>
    </row>
    <row r="27" spans="1:4" x14ac:dyDescent="0.25">
      <c r="A27" s="1"/>
      <c r="B27" s="74"/>
      <c r="C27" s="45"/>
      <c r="D27" s="1"/>
    </row>
    <row r="28" spans="1:4" x14ac:dyDescent="0.25">
      <c r="A28" s="1"/>
      <c r="B28" s="1"/>
      <c r="C28" s="44"/>
      <c r="D28" s="1"/>
    </row>
    <row r="29" spans="1:4" x14ac:dyDescent="0.25">
      <c r="A29" s="1"/>
      <c r="B29" s="1"/>
      <c r="C29" s="44"/>
      <c r="D29" s="1"/>
    </row>
    <row r="30" spans="1:4" x14ac:dyDescent="0.25">
      <c r="A30" s="1"/>
      <c r="B30" s="74" t="s">
        <v>90</v>
      </c>
      <c r="C30" s="45"/>
      <c r="D30" s="1"/>
    </row>
    <row r="31" spans="1:4" x14ac:dyDescent="0.25">
      <c r="A31" s="1"/>
      <c r="B31" s="82" t="s">
        <v>107</v>
      </c>
      <c r="C31" s="46">
        <v>0.02</v>
      </c>
      <c r="D31" s="1"/>
    </row>
    <row r="32" spans="1:4" x14ac:dyDescent="0.25">
      <c r="A32" s="1"/>
      <c r="B32" s="74"/>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55"/>
      <c r="B50" s="55"/>
      <c r="C50" s="91"/>
      <c r="D50" s="55"/>
    </row>
    <row r="51" spans="1:4" x14ac:dyDescent="0.25">
      <c r="A51" s="55"/>
      <c r="B51" s="55"/>
      <c r="C51" s="91"/>
      <c r="D51" s="55"/>
    </row>
    <row r="52" spans="1:4" x14ac:dyDescent="0.25">
      <c r="A52" s="55"/>
      <c r="B52" s="55"/>
      <c r="C52" s="91"/>
      <c r="D52" s="55"/>
    </row>
    <row r="53" spans="1:4" x14ac:dyDescent="0.25">
      <c r="A53" s="55"/>
      <c r="B53" s="55"/>
      <c r="C53" s="91"/>
      <c r="D53" s="55"/>
    </row>
  </sheetData>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5"/>
  <sheetViews>
    <sheetView showGridLines="0" view="pageLayout" zoomScaleNormal="100" workbookViewId="0">
      <selection activeCell="B3" sqref="B3:D4"/>
    </sheetView>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0" t="s">
        <v>165</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74" t="s">
        <v>12</v>
      </c>
      <c r="C7" s="75"/>
      <c r="D7" s="19"/>
      <c r="E7" s="1"/>
    </row>
    <row r="8" spans="1:5" x14ac:dyDescent="0.25">
      <c r="A8" s="1"/>
      <c r="B8" s="71" t="s">
        <v>116</v>
      </c>
      <c r="C8" s="7">
        <f>'Fane 3. Omkostninger i ØR2022'!E20</f>
        <v>26873294.926771007</v>
      </c>
      <c r="D8" s="8" t="s">
        <v>3</v>
      </c>
      <c r="E8" s="1"/>
    </row>
    <row r="9" spans="1:5" ht="17.25" customHeight="1" x14ac:dyDescent="0.25">
      <c r="A9" s="1"/>
      <c r="B9" s="23" t="s">
        <v>35</v>
      </c>
      <c r="C9" s="7">
        <f>'Fane 10.1. Varige tillæg'!C16</f>
        <v>844135.54796859517</v>
      </c>
      <c r="D9" s="8" t="s">
        <v>3</v>
      </c>
      <c r="E9" s="1"/>
    </row>
    <row r="10" spans="1:5" ht="17.25" customHeight="1" x14ac:dyDescent="0.25">
      <c r="A10" s="1"/>
      <c r="B10" s="23" t="s">
        <v>36</v>
      </c>
      <c r="C10" s="9">
        <f>'Fane 10.1. Varige tillæg'!E16</f>
        <v>303589.86627162056</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997548.32413999946</v>
      </c>
      <c r="D15" s="8" t="s">
        <v>3</v>
      </c>
      <c r="E15" s="1"/>
    </row>
    <row r="16" spans="1:5" ht="17.25" customHeight="1" x14ac:dyDescent="0.25">
      <c r="A16" s="1"/>
      <c r="B16" s="23" t="s">
        <v>9</v>
      </c>
      <c r="C16" s="9">
        <f>-SUM(C8,C9:C15)*'Fane 5. Individuelt eff. krav'!G9</f>
        <v>-580371.37330302445</v>
      </c>
      <c r="D16" s="8" t="s">
        <v>3</v>
      </c>
      <c r="E16" s="1"/>
    </row>
    <row r="17" spans="1:5" ht="17.25" customHeight="1" x14ac:dyDescent="0.25">
      <c r="A17" s="1"/>
      <c r="B17" s="23" t="s">
        <v>23</v>
      </c>
      <c r="C17" s="9">
        <f>-'Fane 4.1. Gen. krav - drift'!G44</f>
        <v>-396936.05470124172</v>
      </c>
      <c r="D17" s="8" t="s">
        <v>3</v>
      </c>
      <c r="E17" s="1"/>
    </row>
    <row r="18" spans="1:5" ht="17.25" customHeight="1" x14ac:dyDescent="0.25">
      <c r="A18" s="1"/>
      <c r="B18" s="23" t="s">
        <v>24</v>
      </c>
      <c r="C18" s="9">
        <f>-'Fane 4.2. Gen. krav - anlæg'!G44</f>
        <v>0</v>
      </c>
      <c r="D18" s="8" t="s">
        <v>3</v>
      </c>
      <c r="E18" s="1"/>
    </row>
    <row r="19" spans="1:5" ht="17.25" customHeight="1" x14ac:dyDescent="0.25">
      <c r="A19" s="1"/>
      <c r="B19" s="51" t="s">
        <v>19</v>
      </c>
      <c r="C19" s="10">
        <f>SUM(C8,C9:C18)</f>
        <v>28041261.237146955</v>
      </c>
      <c r="D19" s="11" t="s">
        <v>3</v>
      </c>
      <c r="E19" s="1"/>
    </row>
    <row r="20" spans="1:5" ht="15" customHeight="1" x14ac:dyDescent="0.25">
      <c r="A20" s="1"/>
      <c r="B20" s="74" t="s">
        <v>11</v>
      </c>
      <c r="C20" s="75"/>
      <c r="D20" s="19"/>
      <c r="E20" s="1"/>
    </row>
    <row r="21" spans="1:5" ht="15" customHeight="1" x14ac:dyDescent="0.25">
      <c r="A21" s="1"/>
      <c r="B21" s="68" t="s">
        <v>11</v>
      </c>
      <c r="C21" s="10">
        <f>'Fane 6. Ikke-påvirkelige omk.'!C18</f>
        <v>30549078.293028262</v>
      </c>
      <c r="D21" s="11" t="s">
        <v>3</v>
      </c>
      <c r="E21" s="1"/>
    </row>
    <row r="22" spans="1:5" ht="15" customHeight="1" x14ac:dyDescent="0.25">
      <c r="A22" s="1"/>
      <c r="B22" s="74" t="s">
        <v>80</v>
      </c>
      <c r="C22" s="75"/>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75"/>
      <c r="D28" s="19"/>
      <c r="E28" s="1"/>
    </row>
    <row r="29" spans="1:5" x14ac:dyDescent="0.25">
      <c r="A29" s="1"/>
      <c r="B29" s="83" t="s">
        <v>129</v>
      </c>
      <c r="C29" s="10">
        <f>'Fane 7. Kontrol af ØR2021'!E31</f>
        <v>-1337509.857472904</v>
      </c>
      <c r="D29" s="11" t="s">
        <v>3</v>
      </c>
      <c r="E29" s="1"/>
    </row>
    <row r="30" spans="1:5" x14ac:dyDescent="0.25">
      <c r="A30" s="1"/>
      <c r="B30" s="25" t="s">
        <v>153</v>
      </c>
      <c r="C30" s="75"/>
      <c r="D30" s="19"/>
      <c r="E30" s="1"/>
    </row>
    <row r="31" spans="1:5" x14ac:dyDescent="0.25">
      <c r="A31" s="1"/>
      <c r="B31" s="83" t="s">
        <v>154</v>
      </c>
      <c r="C31" s="10">
        <f>'Fane 8. Skattesagen'!G12</f>
        <v>0</v>
      </c>
      <c r="D31" s="11" t="s">
        <v>3</v>
      </c>
      <c r="E31" s="1"/>
    </row>
    <row r="32" spans="1:5" x14ac:dyDescent="0.25">
      <c r="A32" s="1"/>
      <c r="B32" s="74" t="s">
        <v>84</v>
      </c>
      <c r="C32" s="36">
        <f>SUM(C19,C21,C27,C29,C31)</f>
        <v>57252829.672702312</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0"/>
  <sheetViews>
    <sheetView showGridLines="0" view="pageLayout" zoomScaleNormal="100" workbookViewId="0">
      <selection activeCell="B3" sqref="B3:D4"/>
    </sheetView>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0" t="s">
        <v>166</v>
      </c>
      <c r="C3" s="110"/>
      <c r="D3" s="110"/>
      <c r="E3" s="1"/>
    </row>
    <row r="4" spans="1:5" ht="15" customHeight="1" x14ac:dyDescent="0.25">
      <c r="A4" s="1"/>
      <c r="B4" s="110"/>
      <c r="C4" s="110"/>
      <c r="D4" s="110"/>
      <c r="E4" s="1"/>
    </row>
    <row r="5" spans="1:5" x14ac:dyDescent="0.25">
      <c r="A5" s="1"/>
      <c r="B5" s="111"/>
      <c r="C5" s="111"/>
      <c r="D5" s="111"/>
      <c r="E5" s="1"/>
    </row>
    <row r="6" spans="1:5" x14ac:dyDescent="0.25">
      <c r="A6" s="1"/>
      <c r="B6" s="1"/>
      <c r="C6" s="1"/>
      <c r="D6" s="1"/>
      <c r="E6" s="1"/>
    </row>
    <row r="7" spans="1:5" x14ac:dyDescent="0.25">
      <c r="A7" s="1"/>
      <c r="B7" s="74" t="s">
        <v>12</v>
      </c>
      <c r="C7" s="75"/>
      <c r="D7" s="19"/>
      <c r="E7" s="1"/>
    </row>
    <row r="8" spans="1:5" ht="15" customHeight="1" x14ac:dyDescent="0.25">
      <c r="A8" s="1"/>
      <c r="B8" s="71" t="s">
        <v>117</v>
      </c>
      <c r="C8" s="7">
        <f>'Fane 2.1. Økonomisk ramme 2023'!C19</f>
        <v>28041261.237146955</v>
      </c>
      <c r="D8" s="8" t="s">
        <v>3</v>
      </c>
      <c r="E8" s="1"/>
    </row>
    <row r="9" spans="1:5" ht="15" customHeight="1" x14ac:dyDescent="0.25">
      <c r="A9" s="1"/>
      <c r="B9" s="67" t="s">
        <v>17</v>
      </c>
      <c r="C9" s="9">
        <f>SUM(C8:C8)*'Fane 13. Nøgletal'!C15</f>
        <v>998268.90004243155</v>
      </c>
      <c r="D9" s="8" t="s">
        <v>3</v>
      </c>
      <c r="E9" s="1"/>
    </row>
    <row r="10" spans="1:5" ht="15" customHeight="1" x14ac:dyDescent="0.25">
      <c r="A10" s="1"/>
      <c r="B10" s="67" t="s">
        <v>9</v>
      </c>
      <c r="C10" s="9">
        <f>-SUM(C8:C9)*'Fane 5. Individuelt eff. krav'!G9</f>
        <v>-580790.60274378781</v>
      </c>
      <c r="D10" s="8" t="s">
        <v>3</v>
      </c>
      <c r="E10" s="1"/>
    </row>
    <row r="11" spans="1:5" ht="15" customHeight="1" x14ac:dyDescent="0.25">
      <c r="A11" s="1"/>
      <c r="B11" s="67" t="s">
        <v>23</v>
      </c>
      <c r="C11" s="9">
        <f>-'Fane 4.1. Gen. krav - drift'!G49</f>
        <v>-402845.63868363382</v>
      </c>
      <c r="D11" s="8" t="s">
        <v>3</v>
      </c>
      <c r="E11" s="1"/>
    </row>
    <row r="12" spans="1:5" ht="15" customHeight="1" x14ac:dyDescent="0.25">
      <c r="A12" s="1"/>
      <c r="B12" s="67" t="s">
        <v>24</v>
      </c>
      <c r="C12" s="9">
        <f>-'Fane 4.2. Gen. krav - anlæg'!G49</f>
        <v>0</v>
      </c>
      <c r="D12" s="8" t="s">
        <v>3</v>
      </c>
      <c r="E12" s="1"/>
    </row>
    <row r="13" spans="1:5" ht="15" customHeight="1" x14ac:dyDescent="0.25">
      <c r="A13" s="1"/>
      <c r="B13" s="33" t="s">
        <v>19</v>
      </c>
      <c r="C13" s="10">
        <f>SUM(C8:C12)</f>
        <v>28055893.895761967</v>
      </c>
      <c r="D13" s="11" t="s">
        <v>3</v>
      </c>
      <c r="E13" s="1"/>
    </row>
    <row r="14" spans="1:5" x14ac:dyDescent="0.25">
      <c r="A14" s="1"/>
      <c r="B14" s="74" t="s">
        <v>11</v>
      </c>
      <c r="C14" s="75"/>
      <c r="D14" s="19"/>
      <c r="E14" s="1"/>
    </row>
    <row r="15" spans="1:5" ht="15" customHeight="1" x14ac:dyDescent="0.25">
      <c r="A15" s="1"/>
      <c r="B15" s="68" t="s">
        <v>11</v>
      </c>
      <c r="C15" s="10">
        <f>'Fane 6. Ikke-påvirkelige omk.'!C18*(1+'Fane 13. Nøgletal'!C15)</f>
        <v>31636625.48026007</v>
      </c>
      <c r="D15" s="11" t="s">
        <v>3</v>
      </c>
      <c r="E15" s="1"/>
    </row>
    <row r="16" spans="1:5" x14ac:dyDescent="0.25">
      <c r="A16" s="1"/>
      <c r="B16" s="25" t="s">
        <v>128</v>
      </c>
      <c r="C16" s="75"/>
      <c r="D16" s="19"/>
      <c r="E16" s="1"/>
    </row>
    <row r="17" spans="1:5" ht="15" customHeight="1" x14ac:dyDescent="0.25">
      <c r="A17" s="1"/>
      <c r="B17" s="83" t="s">
        <v>129</v>
      </c>
      <c r="C17" s="10">
        <f>'Fane 7. Kontrol af ØR2021'!E31</f>
        <v>-1337509.857472904</v>
      </c>
      <c r="D17" s="11" t="s">
        <v>3</v>
      </c>
      <c r="E17" s="1"/>
    </row>
    <row r="18" spans="1:5" x14ac:dyDescent="0.25">
      <c r="A18" s="1"/>
      <c r="B18" s="25" t="s">
        <v>153</v>
      </c>
      <c r="C18" s="75"/>
      <c r="D18" s="19"/>
      <c r="E18" s="1"/>
    </row>
    <row r="19" spans="1:5" x14ac:dyDescent="0.25">
      <c r="A19" s="1"/>
      <c r="B19" s="83" t="s">
        <v>154</v>
      </c>
      <c r="C19" s="10">
        <f>'Fane 8. Skattesagen'!G13</f>
        <v>0</v>
      </c>
      <c r="D19" s="11" t="s">
        <v>3</v>
      </c>
      <c r="E19" s="1"/>
    </row>
    <row r="20" spans="1:5" x14ac:dyDescent="0.25">
      <c r="A20" s="1"/>
      <c r="B20" s="74" t="s">
        <v>138</v>
      </c>
      <c r="C20" s="12">
        <f>SUM(C13,C15,C17,C19)</f>
        <v>58355009.518549137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1"/>
  <sheetViews>
    <sheetView showGridLines="0" view="pageLayout" zoomScaleNormal="100" workbookViewId="0">
      <selection activeCell="B3" sqref="B3:D4"/>
    </sheetView>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0" t="s">
        <v>167</v>
      </c>
      <c r="C3" s="110"/>
      <c r="D3" s="110"/>
      <c r="E3" s="1"/>
    </row>
    <row r="4" spans="1:5" ht="15" customHeight="1" x14ac:dyDescent="0.25">
      <c r="A4" s="1"/>
      <c r="B4" s="110"/>
      <c r="C4" s="110"/>
      <c r="D4" s="110"/>
      <c r="E4" s="1"/>
    </row>
    <row r="5" spans="1:5" x14ac:dyDescent="0.25">
      <c r="A5" s="1"/>
      <c r="B5" s="111" t="s">
        <v>20</v>
      </c>
      <c r="C5" s="111"/>
      <c r="D5" s="111"/>
      <c r="E5" s="1"/>
    </row>
    <row r="6" spans="1:5" x14ac:dyDescent="0.25">
      <c r="A6" s="1"/>
      <c r="B6" s="1"/>
      <c r="C6" s="1"/>
      <c r="D6" s="1"/>
      <c r="E6" s="1"/>
    </row>
    <row r="7" spans="1:5" x14ac:dyDescent="0.25">
      <c r="A7" s="1"/>
      <c r="B7" s="74" t="s">
        <v>12</v>
      </c>
      <c r="C7" s="75"/>
      <c r="D7" s="19"/>
      <c r="E7" s="1"/>
    </row>
    <row r="8" spans="1:5" ht="15" customHeight="1" x14ac:dyDescent="0.25">
      <c r="A8" s="1"/>
      <c r="B8" s="71" t="s">
        <v>139</v>
      </c>
      <c r="C8" s="7">
        <f>'Fane 2.2. Økonomisk ramme 2024'!C13</f>
        <v>28055893.895761967</v>
      </c>
      <c r="D8" s="8" t="s">
        <v>3</v>
      </c>
      <c r="E8" s="1"/>
    </row>
    <row r="9" spans="1:5" ht="15" customHeight="1" x14ac:dyDescent="0.25">
      <c r="A9" s="1"/>
      <c r="B9" s="67" t="s">
        <v>17</v>
      </c>
      <c r="C9" s="9">
        <f>SUM(C8:C8)*'Fane 13. Nøgletal'!C15</f>
        <v>998789.82268912601</v>
      </c>
      <c r="D9" s="8" t="s">
        <v>3</v>
      </c>
      <c r="E9" s="1"/>
    </row>
    <row r="10" spans="1:5" ht="15" customHeight="1" x14ac:dyDescent="0.25">
      <c r="A10" s="1"/>
      <c r="B10" s="67" t="s">
        <v>9</v>
      </c>
      <c r="C10" s="9">
        <f>-SUM(C8:C9)*'Fane 5. Individuelt eff. krav'!G9</f>
        <v>-581093.6743690219</v>
      </c>
      <c r="D10" s="8" t="s">
        <v>3</v>
      </c>
      <c r="E10" s="1"/>
    </row>
    <row r="11" spans="1:5" ht="15" customHeight="1" x14ac:dyDescent="0.25">
      <c r="A11" s="1"/>
      <c r="B11" s="67" t="s">
        <v>23</v>
      </c>
      <c r="C11" s="9">
        <f>-'Fane 4.1. Gen. krav - drift'!G54</f>
        <v>-408843.2045523558</v>
      </c>
      <c r="D11" s="8" t="s">
        <v>3</v>
      </c>
      <c r="E11" s="1"/>
    </row>
    <row r="12" spans="1:5" ht="15" customHeight="1" x14ac:dyDescent="0.25">
      <c r="A12" s="1"/>
      <c r="B12" s="67" t="s">
        <v>24</v>
      </c>
      <c r="C12" s="27">
        <f>-'Fane 4.2. Gen. krav - anlæg'!G54</f>
        <v>0</v>
      </c>
      <c r="D12" s="8" t="s">
        <v>3</v>
      </c>
      <c r="E12" s="1"/>
    </row>
    <row r="13" spans="1:5" x14ac:dyDescent="0.25">
      <c r="A13" s="1"/>
      <c r="B13" s="33" t="s">
        <v>19</v>
      </c>
      <c r="C13" s="10">
        <f>SUM(C8:C12)</f>
        <v>28064746.839529715</v>
      </c>
      <c r="D13" s="11" t="s">
        <v>3</v>
      </c>
      <c r="E13" s="1"/>
    </row>
    <row r="14" spans="1:5" x14ac:dyDescent="0.25">
      <c r="A14" s="1"/>
      <c r="B14" s="74" t="s">
        <v>11</v>
      </c>
      <c r="C14" s="75"/>
      <c r="D14" s="19"/>
      <c r="E14" s="1"/>
    </row>
    <row r="15" spans="1:5" ht="15" customHeight="1" x14ac:dyDescent="0.25">
      <c r="A15" s="1"/>
      <c r="B15" s="68" t="s">
        <v>11</v>
      </c>
      <c r="C15" s="10">
        <f>'Fane 6. Ikke-påvirkelige omk.'!C18*(1+'Fane 13. Nøgletal'!C15)^2</f>
        <v>32762889.347357329</v>
      </c>
      <c r="D15" s="11" t="s">
        <v>3</v>
      </c>
      <c r="E15" s="1"/>
    </row>
    <row r="16" spans="1:5" x14ac:dyDescent="0.25">
      <c r="A16" s="1"/>
      <c r="B16" s="74" t="s">
        <v>128</v>
      </c>
      <c r="C16" s="75"/>
      <c r="D16" s="19"/>
      <c r="E16" s="1"/>
    </row>
    <row r="17" spans="1:5" x14ac:dyDescent="0.25">
      <c r="A17" s="1"/>
      <c r="B17" s="68" t="s">
        <v>129</v>
      </c>
      <c r="C17" s="10">
        <v>0</v>
      </c>
      <c r="D17" s="11" t="s">
        <v>3</v>
      </c>
      <c r="E17" s="1"/>
    </row>
    <row r="18" spans="1:5" ht="15" customHeight="1" x14ac:dyDescent="0.25">
      <c r="A18" s="1"/>
      <c r="B18" s="25" t="s">
        <v>153</v>
      </c>
      <c r="C18" s="75"/>
      <c r="D18" s="19"/>
      <c r="E18" s="1"/>
    </row>
    <row r="19" spans="1:5" ht="15" customHeight="1" x14ac:dyDescent="0.25">
      <c r="A19" s="1"/>
      <c r="B19" s="83" t="s">
        <v>154</v>
      </c>
      <c r="C19" s="10">
        <f>'Fane 8. Skattesagen'!G14</f>
        <v>0</v>
      </c>
      <c r="D19" s="11" t="s">
        <v>3</v>
      </c>
      <c r="E19" s="1"/>
    </row>
    <row r="20" spans="1:5" x14ac:dyDescent="0.25">
      <c r="A20" s="1"/>
      <c r="B20" s="74" t="s">
        <v>140</v>
      </c>
      <c r="C20" s="12">
        <f>SUM(C13,C15,C17,C19)</f>
        <v>60827636.186887041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1"/>
  <sheetViews>
    <sheetView showGridLines="0" view="pageLayout" zoomScaleNormal="100" workbookViewId="0">
      <selection activeCell="B3" sqref="B3:D4"/>
    </sheetView>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0" t="s">
        <v>168</v>
      </c>
      <c r="C3" s="110"/>
      <c r="D3" s="110"/>
      <c r="E3" s="1"/>
    </row>
    <row r="4" spans="1:5" ht="15" customHeight="1" x14ac:dyDescent="0.25">
      <c r="A4" s="1"/>
      <c r="B4" s="110"/>
      <c r="C4" s="110"/>
      <c r="D4" s="110"/>
      <c r="E4" s="1"/>
    </row>
    <row r="5" spans="1:5" x14ac:dyDescent="0.25">
      <c r="A5" s="1"/>
      <c r="B5" s="111" t="s">
        <v>20</v>
      </c>
      <c r="C5" s="111"/>
      <c r="D5" s="111"/>
      <c r="E5" s="1"/>
    </row>
    <row r="6" spans="1:5" x14ac:dyDescent="0.25">
      <c r="A6" s="1"/>
      <c r="B6" s="1"/>
      <c r="C6" s="1"/>
      <c r="D6" s="1"/>
      <c r="E6" s="1"/>
    </row>
    <row r="7" spans="1:5" x14ac:dyDescent="0.25">
      <c r="A7" s="1"/>
      <c r="B7" s="74" t="s">
        <v>12</v>
      </c>
      <c r="C7" s="75"/>
      <c r="D7" s="19"/>
      <c r="E7" s="1"/>
    </row>
    <row r="8" spans="1:5" ht="15" customHeight="1" x14ac:dyDescent="0.25">
      <c r="A8" s="1"/>
      <c r="B8" s="71" t="s">
        <v>169</v>
      </c>
      <c r="C8" s="7">
        <f>'Fane 2.3. Økonomisk ramme 2025'!C13</f>
        <v>28064746.839529715</v>
      </c>
      <c r="D8" s="8" t="s">
        <v>3</v>
      </c>
      <c r="E8" s="1"/>
    </row>
    <row r="9" spans="1:5" ht="15" customHeight="1" x14ac:dyDescent="0.25">
      <c r="A9" s="1"/>
      <c r="B9" s="67" t="s">
        <v>17</v>
      </c>
      <c r="C9" s="9">
        <f>SUM(C8:C8)*'Fane 13. Nøgletal'!C15</f>
        <v>999104.98748725781</v>
      </c>
      <c r="D9" s="8" t="s">
        <v>3</v>
      </c>
      <c r="E9" s="1"/>
    </row>
    <row r="10" spans="1:5" ht="15" customHeight="1" x14ac:dyDescent="0.25">
      <c r="A10" s="1"/>
      <c r="B10" s="67" t="s">
        <v>9</v>
      </c>
      <c r="C10" s="9">
        <f>-SUM(C8:C9)*'Fane 5. Individuelt eff. krav'!G9</f>
        <v>-581277.03654033947</v>
      </c>
      <c r="D10" s="8" t="s">
        <v>3</v>
      </c>
      <c r="E10" s="1"/>
    </row>
    <row r="11" spans="1:5" ht="15" customHeight="1" x14ac:dyDescent="0.25">
      <c r="A11" s="1"/>
      <c r="B11" s="67" t="s">
        <v>23</v>
      </c>
      <c r="C11" s="9">
        <f>-'Fane 4.1. Gen. krav - drift'!G59</f>
        <v>-414930.06218173134</v>
      </c>
      <c r="D11" s="8" t="s">
        <v>3</v>
      </c>
      <c r="E11" s="1"/>
    </row>
    <row r="12" spans="1:5" ht="15" customHeight="1" x14ac:dyDescent="0.25">
      <c r="A12" s="1"/>
      <c r="B12" s="67" t="s">
        <v>24</v>
      </c>
      <c r="C12" s="9">
        <f>-'Fane 4.2. Gen. krav - anlæg'!G59</f>
        <v>0</v>
      </c>
      <c r="D12" s="8" t="s">
        <v>3</v>
      </c>
      <c r="E12" s="1"/>
    </row>
    <row r="13" spans="1:5" x14ac:dyDescent="0.25">
      <c r="A13" s="1"/>
      <c r="B13" s="33" t="s">
        <v>19</v>
      </c>
      <c r="C13" s="10">
        <f>SUM(C8:C12)</f>
        <v>28067644.728294902</v>
      </c>
      <c r="D13" s="11" t="s">
        <v>3</v>
      </c>
      <c r="E13" s="1"/>
    </row>
    <row r="14" spans="1:5" x14ac:dyDescent="0.25">
      <c r="A14" s="1"/>
      <c r="B14" s="74" t="s">
        <v>11</v>
      </c>
      <c r="C14" s="75"/>
      <c r="D14" s="19"/>
      <c r="E14" s="1"/>
    </row>
    <row r="15" spans="1:5" ht="15" customHeight="1" x14ac:dyDescent="0.25">
      <c r="A15" s="1"/>
      <c r="B15" s="68" t="s">
        <v>11</v>
      </c>
      <c r="C15" s="10">
        <f>'Fane 6. Ikke-påvirkelige omk.'!C18*(1+'Fane 13. Nøgletal'!C15)^3</f>
        <v>33929248.208123252</v>
      </c>
      <c r="D15" s="11" t="s">
        <v>3</v>
      </c>
      <c r="E15" s="1"/>
    </row>
    <row r="16" spans="1:5" x14ac:dyDescent="0.25">
      <c r="A16" s="1"/>
      <c r="B16" s="74" t="s">
        <v>128</v>
      </c>
      <c r="C16" s="75"/>
      <c r="D16" s="19"/>
      <c r="E16" s="1"/>
    </row>
    <row r="17" spans="1:5" x14ac:dyDescent="0.25">
      <c r="A17" s="1"/>
      <c r="B17" s="68" t="s">
        <v>129</v>
      </c>
      <c r="C17" s="10">
        <v>0</v>
      </c>
      <c r="D17" s="11" t="s">
        <v>3</v>
      </c>
      <c r="E17" s="1"/>
    </row>
    <row r="18" spans="1:5" x14ac:dyDescent="0.25">
      <c r="A18" s="1"/>
      <c r="B18" s="25" t="s">
        <v>153</v>
      </c>
      <c r="C18" s="75"/>
      <c r="D18" s="19"/>
      <c r="E18" s="1"/>
    </row>
    <row r="19" spans="1:5" x14ac:dyDescent="0.25">
      <c r="A19" s="1"/>
      <c r="B19" s="83" t="s">
        <v>154</v>
      </c>
      <c r="C19" s="10">
        <f>'Fane 8. Skattesagen'!G15</f>
        <v>0</v>
      </c>
      <c r="D19" s="11" t="s">
        <v>3</v>
      </c>
      <c r="E19" s="1"/>
    </row>
    <row r="20" spans="1:5" x14ac:dyDescent="0.25">
      <c r="A20" s="1"/>
      <c r="B20" s="74" t="s">
        <v>170</v>
      </c>
      <c r="C20" s="12">
        <f>SUM(C13,C15,C17,C19)</f>
        <v>61996892.936418153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2" t="s">
        <v>171</v>
      </c>
      <c r="C3" s="132"/>
      <c r="D3" s="132"/>
      <c r="E3" s="132"/>
      <c r="F3" s="132"/>
      <c r="G3" s="1"/>
    </row>
    <row r="4" spans="1:7" ht="29.25" customHeight="1" x14ac:dyDescent="0.25">
      <c r="A4" s="1"/>
      <c r="B4" s="132"/>
      <c r="C4" s="132"/>
      <c r="D4" s="132"/>
      <c r="E4" s="132"/>
      <c r="F4" s="13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5" t="s">
        <v>172</v>
      </c>
      <c r="C8" s="86"/>
      <c r="D8" s="86"/>
      <c r="E8" s="86"/>
      <c r="F8" s="19"/>
      <c r="G8" s="1"/>
    </row>
    <row r="9" spans="1:7" x14ac:dyDescent="0.25">
      <c r="A9" s="1"/>
      <c r="B9" s="133" t="s">
        <v>22</v>
      </c>
      <c r="C9" s="134"/>
      <c r="D9" s="135"/>
      <c r="E9" s="7">
        <v>26099931.837411579</v>
      </c>
      <c r="F9" s="8" t="s">
        <v>3</v>
      </c>
      <c r="G9" s="1"/>
    </row>
    <row r="10" spans="1:7" ht="15" customHeight="1" x14ac:dyDescent="0.25">
      <c r="A10" s="1"/>
      <c r="B10" s="115" t="s">
        <v>35</v>
      </c>
      <c r="C10" s="116"/>
      <c r="D10" s="117"/>
      <c r="E10" s="9">
        <v>1181828.2053</v>
      </c>
      <c r="F10" s="8" t="s">
        <v>3</v>
      </c>
      <c r="G10" s="1"/>
    </row>
    <row r="11" spans="1:7" ht="15" customHeight="1" x14ac:dyDescent="0.25">
      <c r="A11" s="1"/>
      <c r="B11" s="115" t="s">
        <v>36</v>
      </c>
      <c r="C11" s="116"/>
      <c r="D11" s="117"/>
      <c r="E11" s="9">
        <v>444995.65560000006</v>
      </c>
      <c r="F11" s="8" t="s">
        <v>3</v>
      </c>
      <c r="G11" s="1"/>
    </row>
    <row r="12" spans="1:7" x14ac:dyDescent="0.25">
      <c r="A12" s="1"/>
      <c r="B12" s="115" t="s">
        <v>26</v>
      </c>
      <c r="C12" s="116"/>
      <c r="D12" s="117"/>
      <c r="E12" s="9">
        <v>0</v>
      </c>
      <c r="F12" s="8" t="s">
        <v>3</v>
      </c>
      <c r="G12" s="1"/>
    </row>
    <row r="13" spans="1:7" x14ac:dyDescent="0.25">
      <c r="A13" s="1"/>
      <c r="B13" s="115" t="s">
        <v>25</v>
      </c>
      <c r="C13" s="116"/>
      <c r="D13" s="117"/>
      <c r="E13" s="9">
        <v>0</v>
      </c>
      <c r="F13" s="8" t="s">
        <v>3</v>
      </c>
      <c r="G13" s="1"/>
    </row>
    <row r="14" spans="1:7" x14ac:dyDescent="0.25">
      <c r="A14" s="1"/>
      <c r="B14" s="115" t="s">
        <v>114</v>
      </c>
      <c r="C14" s="116"/>
      <c r="D14" s="117"/>
      <c r="E14" s="9">
        <v>0</v>
      </c>
      <c r="F14" s="8" t="s">
        <v>3</v>
      </c>
      <c r="G14" s="1"/>
    </row>
    <row r="15" spans="1:7" x14ac:dyDescent="0.25">
      <c r="A15" s="1"/>
      <c r="B15" s="115" t="s">
        <v>115</v>
      </c>
      <c r="C15" s="116"/>
      <c r="D15" s="117"/>
      <c r="E15" s="9">
        <v>0</v>
      </c>
      <c r="F15" s="8" t="s">
        <v>3</v>
      </c>
      <c r="G15" s="1"/>
    </row>
    <row r="16" spans="1:7" x14ac:dyDescent="0.25">
      <c r="A16" s="1"/>
      <c r="B16" s="115" t="s">
        <v>17</v>
      </c>
      <c r="C16" s="116"/>
      <c r="D16" s="117"/>
      <c r="E16" s="9">
        <v>323787.68715739128</v>
      </c>
      <c r="F16" s="8" t="s">
        <v>3</v>
      </c>
      <c r="G16" s="30"/>
    </row>
    <row r="17" spans="1:7" x14ac:dyDescent="0.25">
      <c r="A17" s="1"/>
      <c r="B17" s="115" t="s">
        <v>9</v>
      </c>
      <c r="C17" s="116"/>
      <c r="D17" s="117"/>
      <c r="E17" s="9">
        <v>-486090.09102299524</v>
      </c>
      <c r="F17" s="8" t="s">
        <v>3</v>
      </c>
      <c r="G17" s="1"/>
    </row>
    <row r="18" spans="1:7" x14ac:dyDescent="0.25">
      <c r="A18" s="1"/>
      <c r="B18" s="115" t="s">
        <v>23</v>
      </c>
      <c r="C18" s="116"/>
      <c r="D18" s="117"/>
      <c r="E18" s="9">
        <v>-373885.90586519521</v>
      </c>
      <c r="F18" s="8" t="s">
        <v>3</v>
      </c>
      <c r="G18" s="1"/>
    </row>
    <row r="19" spans="1:7" x14ac:dyDescent="0.25">
      <c r="A19" s="1"/>
      <c r="B19" s="115" t="s">
        <v>24</v>
      </c>
      <c r="C19" s="116"/>
      <c r="D19" s="117"/>
      <c r="E19" s="9">
        <v>-317272.46180977323</v>
      </c>
      <c r="F19" s="8" t="s">
        <v>3</v>
      </c>
      <c r="G19" s="1"/>
    </row>
    <row r="20" spans="1:7" x14ac:dyDescent="0.25">
      <c r="A20" s="1"/>
      <c r="B20" s="118" t="s">
        <v>19</v>
      </c>
      <c r="C20" s="119"/>
      <c r="D20" s="120"/>
      <c r="E20" s="31">
        <f>SUM(E9:E19)</f>
        <v>26873294.926771007</v>
      </c>
      <c r="F20" s="34" t="s">
        <v>3</v>
      </c>
      <c r="G20" s="1"/>
    </row>
    <row r="21" spans="1:7" x14ac:dyDescent="0.25">
      <c r="A21" s="1"/>
      <c r="B21" s="85" t="s">
        <v>11</v>
      </c>
      <c r="C21" s="86"/>
      <c r="D21" s="86"/>
      <c r="E21" s="86"/>
      <c r="F21" s="19"/>
      <c r="G21" s="1"/>
    </row>
    <row r="22" spans="1:7" x14ac:dyDescent="0.25">
      <c r="A22" s="1"/>
      <c r="B22" s="126" t="s">
        <v>11</v>
      </c>
      <c r="C22" s="127"/>
      <c r="D22" s="128"/>
      <c r="E22" s="10">
        <v>27447512.803574283</v>
      </c>
      <c r="F22" s="11" t="s">
        <v>3</v>
      </c>
      <c r="G22" s="1"/>
    </row>
    <row r="23" spans="1:7" ht="15" customHeight="1" x14ac:dyDescent="0.25">
      <c r="A23" s="1"/>
      <c r="B23" s="124" t="s">
        <v>80</v>
      </c>
      <c r="C23" s="125"/>
      <c r="D23" s="125"/>
      <c r="E23" s="86"/>
      <c r="F23" s="19"/>
      <c r="G23" s="1"/>
    </row>
    <row r="24" spans="1:7" ht="14.25" customHeight="1" x14ac:dyDescent="0.25">
      <c r="A24" s="1"/>
      <c r="B24" s="112" t="s">
        <v>76</v>
      </c>
      <c r="C24" s="113"/>
      <c r="D24" s="114"/>
      <c r="E24" s="9">
        <v>0</v>
      </c>
      <c r="F24" s="8" t="s">
        <v>3</v>
      </c>
      <c r="G24" s="1"/>
    </row>
    <row r="25" spans="1:7" ht="14.25" customHeight="1" x14ac:dyDescent="0.25">
      <c r="A25" s="1"/>
      <c r="B25" s="112" t="s">
        <v>77</v>
      </c>
      <c r="C25" s="113"/>
      <c r="D25" s="114"/>
      <c r="E25" s="9">
        <v>0</v>
      </c>
      <c r="F25" s="8" t="s">
        <v>3</v>
      </c>
      <c r="G25" s="1"/>
    </row>
    <row r="26" spans="1:7" x14ac:dyDescent="0.25">
      <c r="A26" s="1"/>
      <c r="B26" s="121" t="s">
        <v>81</v>
      </c>
      <c r="C26" s="122"/>
      <c r="D26" s="122"/>
      <c r="E26" s="10">
        <v>0</v>
      </c>
      <c r="F26" s="11" t="s">
        <v>3</v>
      </c>
      <c r="G26" s="1"/>
    </row>
    <row r="27" spans="1:7" x14ac:dyDescent="0.25">
      <c r="A27" s="1"/>
      <c r="B27" s="85" t="s">
        <v>128</v>
      </c>
      <c r="C27" s="86"/>
      <c r="D27" s="86"/>
      <c r="E27" s="86"/>
      <c r="F27" s="19"/>
      <c r="G27" s="1"/>
    </row>
    <row r="28" spans="1:7" ht="15" customHeight="1" x14ac:dyDescent="0.25">
      <c r="A28" s="1"/>
      <c r="B28" s="121" t="s">
        <v>129</v>
      </c>
      <c r="C28" s="122"/>
      <c r="D28" s="123"/>
      <c r="E28" s="10">
        <v>-415327.7354706116</v>
      </c>
      <c r="F28" s="11" t="s">
        <v>3</v>
      </c>
      <c r="G28" s="1"/>
    </row>
    <row r="29" spans="1:7" x14ac:dyDescent="0.25">
      <c r="A29" s="1"/>
      <c r="B29" s="85" t="s">
        <v>159</v>
      </c>
      <c r="C29" s="86"/>
      <c r="D29" s="86"/>
      <c r="E29" s="86"/>
      <c r="F29" s="19"/>
      <c r="G29" s="1"/>
    </row>
    <row r="30" spans="1:7" ht="15.75" customHeight="1" x14ac:dyDescent="0.25">
      <c r="A30" s="1"/>
      <c r="B30" s="126" t="s">
        <v>160</v>
      </c>
      <c r="C30" s="127"/>
      <c r="D30" s="128"/>
      <c r="E30" s="10">
        <v>0</v>
      </c>
      <c r="F30" s="11" t="s">
        <v>3</v>
      </c>
      <c r="G30" s="1"/>
    </row>
    <row r="31" spans="1:7" ht="15.75" customHeight="1" x14ac:dyDescent="0.25">
      <c r="A31" s="1"/>
      <c r="B31" s="129" t="s">
        <v>153</v>
      </c>
      <c r="C31" s="130"/>
      <c r="D31" s="130"/>
      <c r="E31" s="130"/>
      <c r="F31" s="131"/>
      <c r="G31" s="1"/>
    </row>
    <row r="32" spans="1:7" ht="15.75" customHeight="1" x14ac:dyDescent="0.25">
      <c r="A32" s="1"/>
      <c r="B32" s="90" t="s">
        <v>154</v>
      </c>
      <c r="C32" s="10"/>
      <c r="D32" s="11"/>
      <c r="E32" s="10">
        <f>'Fane 8. Skattesagen'!G11</f>
        <v>0</v>
      </c>
      <c r="F32" s="11" t="s">
        <v>3</v>
      </c>
      <c r="G32" s="1"/>
    </row>
    <row r="33" spans="1:7" x14ac:dyDescent="0.25">
      <c r="A33" s="1"/>
      <c r="B33" s="35" t="s">
        <v>27</v>
      </c>
      <c r="C33" s="38"/>
      <c r="D33" s="38"/>
      <c r="E33" s="32">
        <f>E20+E22+E26+E28+E30+E32</f>
        <v>53905479.994874686</v>
      </c>
      <c r="F33" s="37" t="s">
        <v>3</v>
      </c>
      <c r="G33" s="1"/>
    </row>
    <row r="34" spans="1:7" ht="27.75" customHeight="1" x14ac:dyDescent="0.25">
      <c r="A34" s="1"/>
      <c r="B34" s="112" t="s">
        <v>173</v>
      </c>
      <c r="C34" s="113"/>
      <c r="D34" s="113"/>
      <c r="E34" s="113"/>
      <c r="F34" s="114"/>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66"/>
  <sheetViews>
    <sheetView showGridLines="0" view="pageLayout" zoomScaleNormal="100" workbookViewId="0">
      <selection activeCell="B1" sqref="B1:H3"/>
    </sheetView>
  </sheetViews>
  <sheetFormatPr defaultColWidth="9" defaultRowHeight="15" x14ac:dyDescent="0.25"/>
  <cols>
    <col min="1" max="1" width="2.140625" style="2" customWidth="1"/>
    <col min="2" max="5" width="9" style="2"/>
    <col min="6" max="6" width="25.28515625" style="2" customWidth="1"/>
    <col min="7" max="7" width="13.28515625" style="43" customWidth="1"/>
    <col min="8" max="8" width="3.7109375" style="2" customWidth="1"/>
    <col min="9" max="9" width="2.28515625" style="2" customWidth="1"/>
    <col min="10" max="16384" width="9" style="2"/>
  </cols>
  <sheetData>
    <row r="1" spans="1:9" ht="15" customHeight="1" x14ac:dyDescent="0.25">
      <c r="A1" s="1"/>
      <c r="B1" s="132" t="s">
        <v>98</v>
      </c>
      <c r="C1" s="132"/>
      <c r="D1" s="132"/>
      <c r="E1" s="132"/>
      <c r="F1" s="132"/>
      <c r="G1" s="132"/>
      <c r="H1" s="132"/>
      <c r="I1" s="1"/>
    </row>
    <row r="2" spans="1:9" ht="15" customHeight="1" x14ac:dyDescent="0.25">
      <c r="A2" s="1"/>
      <c r="B2" s="132"/>
      <c r="C2" s="132"/>
      <c r="D2" s="132"/>
      <c r="E2" s="132"/>
      <c r="F2" s="132"/>
      <c r="G2" s="132"/>
      <c r="H2" s="132"/>
      <c r="I2" s="1"/>
    </row>
    <row r="3" spans="1:9" ht="15" customHeight="1" x14ac:dyDescent="0.25">
      <c r="A3" s="1"/>
      <c r="B3" s="132"/>
      <c r="C3" s="132"/>
      <c r="D3" s="132"/>
      <c r="E3" s="132"/>
      <c r="F3" s="132"/>
      <c r="G3" s="132"/>
      <c r="H3" s="132"/>
      <c r="I3" s="1"/>
    </row>
    <row r="4" spans="1:9" x14ac:dyDescent="0.25">
      <c r="A4" s="1"/>
      <c r="B4" s="129" t="s">
        <v>49</v>
      </c>
      <c r="C4" s="130"/>
      <c r="D4" s="130"/>
      <c r="E4" s="130"/>
      <c r="F4" s="130"/>
      <c r="G4" s="130"/>
      <c r="H4" s="131"/>
      <c r="I4" s="1"/>
    </row>
    <row r="5" spans="1:9" x14ac:dyDescent="0.25">
      <c r="A5" s="1"/>
      <c r="B5" s="136" t="s">
        <v>38</v>
      </c>
      <c r="C5" s="137"/>
      <c r="D5" s="137"/>
      <c r="E5" s="137"/>
      <c r="F5" s="138"/>
      <c r="G5" s="58">
        <v>17899150.102455098</v>
      </c>
      <c r="H5" s="14" t="s">
        <v>3</v>
      </c>
      <c r="I5" s="1"/>
    </row>
    <row r="6" spans="1:9" x14ac:dyDescent="0.25">
      <c r="A6" s="1"/>
      <c r="B6" s="136" t="s">
        <v>39</v>
      </c>
      <c r="C6" s="137"/>
      <c r="D6" s="137"/>
      <c r="E6" s="137"/>
      <c r="F6" s="138"/>
      <c r="G6" s="58">
        <f>G5*'Fane 13. Nøgletal'!C31</f>
        <v>357983.00204910198</v>
      </c>
      <c r="H6" s="14" t="s">
        <v>3</v>
      </c>
      <c r="I6" s="1"/>
    </row>
    <row r="7" spans="1:9" x14ac:dyDescent="0.25">
      <c r="A7" s="1"/>
      <c r="B7" s="74"/>
      <c r="C7" s="75"/>
      <c r="D7" s="75"/>
      <c r="E7" s="75"/>
      <c r="F7" s="75"/>
      <c r="G7" s="59"/>
      <c r="H7" s="19"/>
      <c r="I7" s="1"/>
    </row>
    <row r="8" spans="1:9" x14ac:dyDescent="0.25">
      <c r="A8" s="1"/>
      <c r="B8" s="1"/>
      <c r="C8" s="1"/>
      <c r="D8" s="1"/>
      <c r="E8" s="1"/>
      <c r="F8" s="1"/>
      <c r="G8" s="60"/>
      <c r="H8" s="1"/>
      <c r="I8" s="1"/>
    </row>
    <row r="9" spans="1:9" x14ac:dyDescent="0.25">
      <c r="A9" s="1"/>
      <c r="B9" s="129" t="s">
        <v>50</v>
      </c>
      <c r="C9" s="130"/>
      <c r="D9" s="130"/>
      <c r="E9" s="130"/>
      <c r="F9" s="130"/>
      <c r="G9" s="142"/>
      <c r="H9" s="131"/>
      <c r="I9" s="1"/>
    </row>
    <row r="10" spans="1:9" x14ac:dyDescent="0.25">
      <c r="A10" s="1"/>
      <c r="B10" s="136" t="s">
        <v>40</v>
      </c>
      <c r="C10" s="137"/>
      <c r="D10" s="137"/>
      <c r="E10" s="137"/>
      <c r="F10" s="138"/>
      <c r="G10" s="58">
        <f>(G5-G6)*(1+'Fane 13. Nøgletal'!C9)</f>
        <v>17763939.922581151</v>
      </c>
      <c r="H10" s="14" t="s">
        <v>3</v>
      </c>
      <c r="I10" s="1"/>
    </row>
    <row r="11" spans="1:9" x14ac:dyDescent="0.25">
      <c r="A11" s="1"/>
      <c r="B11" s="139" t="s">
        <v>41</v>
      </c>
      <c r="C11" s="140"/>
      <c r="D11" s="140"/>
      <c r="E11" s="140"/>
      <c r="F11" s="141"/>
      <c r="G11" s="58">
        <v>0</v>
      </c>
      <c r="H11" s="14" t="s">
        <v>3</v>
      </c>
      <c r="I11" s="1"/>
    </row>
    <row r="12" spans="1:9" x14ac:dyDescent="0.25">
      <c r="A12" s="1"/>
      <c r="B12" s="136" t="s">
        <v>42</v>
      </c>
      <c r="C12" s="137"/>
      <c r="D12" s="137"/>
      <c r="E12" s="137"/>
      <c r="F12" s="138"/>
      <c r="G12" s="58">
        <f>(G10+G11)*'Fane 13. Nøgletal'!C31</f>
        <v>355278.79845162301</v>
      </c>
      <c r="H12" s="14" t="s">
        <v>3</v>
      </c>
      <c r="I12" s="1"/>
    </row>
    <row r="13" spans="1:9" x14ac:dyDescent="0.25">
      <c r="A13" s="1"/>
      <c r="B13" s="74"/>
      <c r="C13" s="75"/>
      <c r="D13" s="75"/>
      <c r="E13" s="75"/>
      <c r="F13" s="75"/>
      <c r="G13" s="59"/>
      <c r="H13" s="19"/>
      <c r="I13" s="1"/>
    </row>
    <row r="14" spans="1:9" x14ac:dyDescent="0.25">
      <c r="A14" s="1"/>
      <c r="B14" s="1"/>
      <c r="C14" s="1"/>
      <c r="D14" s="1"/>
      <c r="E14" s="1"/>
      <c r="F14" s="1"/>
      <c r="G14" s="60"/>
      <c r="H14" s="1"/>
      <c r="I14" s="1"/>
    </row>
    <row r="15" spans="1:9" x14ac:dyDescent="0.25">
      <c r="A15" s="1"/>
      <c r="B15" s="129" t="s">
        <v>51</v>
      </c>
      <c r="C15" s="130"/>
      <c r="D15" s="130"/>
      <c r="E15" s="130"/>
      <c r="F15" s="130"/>
      <c r="G15" s="142"/>
      <c r="H15" s="131"/>
      <c r="I15" s="1"/>
    </row>
    <row r="16" spans="1:9" x14ac:dyDescent="0.25">
      <c r="A16" s="1"/>
      <c r="B16" s="136" t="s">
        <v>43</v>
      </c>
      <c r="C16" s="137"/>
      <c r="D16" s="137"/>
      <c r="E16" s="137"/>
      <c r="F16" s="138"/>
      <c r="G16" s="58">
        <f>(G10+G11-G12)*(1+'Fane 13. Nøgletal'!C11)</f>
        <v>17702867.497127313</v>
      </c>
      <c r="H16" s="14" t="s">
        <v>3</v>
      </c>
      <c r="I16" s="1"/>
    </row>
    <row r="17" spans="1:9" x14ac:dyDescent="0.25">
      <c r="A17" s="1"/>
      <c r="B17" s="136" t="s">
        <v>108</v>
      </c>
      <c r="C17" s="137"/>
      <c r="D17" s="137"/>
      <c r="E17" s="137"/>
      <c r="F17" s="138"/>
      <c r="G17" s="58">
        <v>0</v>
      </c>
      <c r="H17" s="14" t="s">
        <v>3</v>
      </c>
      <c r="I17" s="1"/>
    </row>
    <row r="18" spans="1:9" x14ac:dyDescent="0.25">
      <c r="A18" s="1"/>
      <c r="B18" s="139" t="s">
        <v>44</v>
      </c>
      <c r="C18" s="140"/>
      <c r="D18" s="140"/>
      <c r="E18" s="140"/>
      <c r="F18" s="141"/>
      <c r="G18" s="58">
        <v>0</v>
      </c>
      <c r="H18" s="14" t="s">
        <v>3</v>
      </c>
      <c r="I18" s="1"/>
    </row>
    <row r="19" spans="1:9" x14ac:dyDescent="0.25">
      <c r="A19" s="1"/>
      <c r="B19" s="136" t="s">
        <v>45</v>
      </c>
      <c r="C19" s="137"/>
      <c r="D19" s="137"/>
      <c r="E19" s="137"/>
      <c r="F19" s="138"/>
      <c r="G19" s="58">
        <f>SUM(G16:G18)*'Fane 13. Nøgletal'!C31</f>
        <v>354057.34994254628</v>
      </c>
      <c r="H19" s="14" t="s">
        <v>3</v>
      </c>
      <c r="I19" s="1"/>
    </row>
    <row r="20" spans="1:9" x14ac:dyDescent="0.25">
      <c r="A20" s="1"/>
      <c r="B20" s="74"/>
      <c r="C20" s="75"/>
      <c r="D20" s="75"/>
      <c r="E20" s="75"/>
      <c r="F20" s="75"/>
      <c r="G20" s="59"/>
      <c r="H20" s="19"/>
      <c r="I20" s="1"/>
    </row>
    <row r="21" spans="1:9" x14ac:dyDescent="0.25">
      <c r="A21" s="1"/>
      <c r="B21" s="1"/>
      <c r="C21" s="1"/>
      <c r="D21" s="1"/>
      <c r="E21" s="1"/>
      <c r="F21" s="1"/>
      <c r="G21" s="60"/>
      <c r="H21" s="1"/>
      <c r="I21" s="1"/>
    </row>
    <row r="22" spans="1:9" x14ac:dyDescent="0.25">
      <c r="A22" s="1"/>
      <c r="B22" s="129" t="s">
        <v>52</v>
      </c>
      <c r="C22" s="130"/>
      <c r="D22" s="130"/>
      <c r="E22" s="130"/>
      <c r="F22" s="130"/>
      <c r="G22" s="142"/>
      <c r="H22" s="131"/>
      <c r="I22" s="1"/>
    </row>
    <row r="23" spans="1:9" x14ac:dyDescent="0.25">
      <c r="A23" s="1"/>
      <c r="B23" s="136" t="s">
        <v>46</v>
      </c>
      <c r="C23" s="137"/>
      <c r="D23" s="137"/>
      <c r="E23" s="137"/>
      <c r="F23" s="138"/>
      <c r="G23" s="58">
        <f>(SUM(G16:G18)-G19)*(1+'Fane 13. Nøgletal'!C11)</f>
        <v>17642005.038672186</v>
      </c>
      <c r="H23" s="14" t="s">
        <v>3</v>
      </c>
      <c r="I23" s="1"/>
    </row>
    <row r="24" spans="1:9" x14ac:dyDescent="0.25">
      <c r="A24" s="1"/>
      <c r="B24" s="139" t="s">
        <v>47</v>
      </c>
      <c r="C24" s="140"/>
      <c r="D24" s="140"/>
      <c r="E24" s="140"/>
      <c r="F24" s="141"/>
      <c r="G24" s="58">
        <v>73649.23020279</v>
      </c>
      <c r="H24" s="14" t="s">
        <v>3</v>
      </c>
      <c r="I24" s="1"/>
    </row>
    <row r="25" spans="1:9" x14ac:dyDescent="0.25">
      <c r="A25" s="1"/>
      <c r="B25" s="136" t="s">
        <v>48</v>
      </c>
      <c r="C25" s="137"/>
      <c r="D25" s="137"/>
      <c r="E25" s="137"/>
      <c r="F25" s="138"/>
      <c r="G25" s="58">
        <f>(G23+G24)*'Fane 13. Nøgletal'!C31</f>
        <v>354313.08537749952</v>
      </c>
      <c r="H25" s="14" t="s">
        <v>3</v>
      </c>
      <c r="I25" s="1"/>
    </row>
    <row r="26" spans="1:9" x14ac:dyDescent="0.25">
      <c r="A26" s="1"/>
      <c r="B26" s="74"/>
      <c r="C26" s="75"/>
      <c r="D26" s="75"/>
      <c r="E26" s="75"/>
      <c r="F26" s="75"/>
      <c r="G26" s="59"/>
      <c r="H26" s="19"/>
      <c r="I26" s="1"/>
    </row>
    <row r="27" spans="1:9" x14ac:dyDescent="0.25">
      <c r="A27" s="1"/>
      <c r="B27" s="1"/>
      <c r="C27" s="1"/>
      <c r="D27" s="1"/>
      <c r="E27" s="1"/>
      <c r="F27" s="1"/>
      <c r="G27" s="60"/>
      <c r="H27" s="1"/>
      <c r="I27" s="1"/>
    </row>
    <row r="28" spans="1:9" x14ac:dyDescent="0.25">
      <c r="A28" s="1"/>
      <c r="B28" s="129" t="s">
        <v>132</v>
      </c>
      <c r="C28" s="130"/>
      <c r="D28" s="130"/>
      <c r="E28" s="130"/>
      <c r="F28" s="130"/>
      <c r="G28" s="142"/>
      <c r="H28" s="131"/>
      <c r="I28" s="1"/>
    </row>
    <row r="29" spans="1:9" x14ac:dyDescent="0.25">
      <c r="A29" s="1"/>
      <c r="B29" s="136" t="s">
        <v>55</v>
      </c>
      <c r="C29" s="137"/>
      <c r="D29" s="137"/>
      <c r="E29" s="137"/>
      <c r="F29" s="138"/>
      <c r="G29" s="58">
        <f>(G23+G24-G25)*(1+'Fane 13. Nøgletal'!C13)</f>
        <v>17573149.545936145</v>
      </c>
      <c r="H29" s="14" t="s">
        <v>3</v>
      </c>
      <c r="I29" s="1"/>
    </row>
    <row r="30" spans="1:9" x14ac:dyDescent="0.25">
      <c r="A30" s="1"/>
      <c r="B30" s="136" t="s">
        <v>121</v>
      </c>
      <c r="C30" s="137"/>
      <c r="D30" s="137"/>
      <c r="E30" s="137"/>
      <c r="F30" s="138"/>
      <c r="G30" s="58">
        <v>77398.517568959986</v>
      </c>
      <c r="H30" s="14" t="s">
        <v>3</v>
      </c>
      <c r="I30" s="1"/>
    </row>
    <row r="31" spans="1:9" x14ac:dyDescent="0.25">
      <c r="A31" s="1"/>
      <c r="B31" s="136" t="s">
        <v>126</v>
      </c>
      <c r="C31" s="137"/>
      <c r="D31" s="137"/>
      <c r="E31" s="137"/>
      <c r="F31" s="138"/>
      <c r="G31" s="58">
        <f>(G29+G30)*'Fane 13. Nøgletal'!C31</f>
        <v>353010.96127010213</v>
      </c>
      <c r="H31" s="14" t="s">
        <v>3</v>
      </c>
      <c r="I31" s="1"/>
    </row>
    <row r="32" spans="1:9" x14ac:dyDescent="0.25">
      <c r="A32" s="1"/>
      <c r="B32" s="74"/>
      <c r="C32" s="75"/>
      <c r="D32" s="75"/>
      <c r="E32" s="75"/>
      <c r="F32" s="75"/>
      <c r="G32" s="59"/>
      <c r="H32" s="19"/>
      <c r="I32" s="1"/>
    </row>
    <row r="33" spans="1:9" x14ac:dyDescent="0.25">
      <c r="A33" s="1"/>
      <c r="B33" s="1"/>
      <c r="C33" s="1"/>
      <c r="D33" s="1"/>
      <c r="E33" s="1"/>
      <c r="F33" s="1"/>
      <c r="G33" s="60"/>
      <c r="H33" s="1"/>
      <c r="I33" s="1"/>
    </row>
    <row r="34" spans="1:9" x14ac:dyDescent="0.25">
      <c r="A34" s="1"/>
      <c r="B34" s="129" t="s">
        <v>133</v>
      </c>
      <c r="C34" s="130"/>
      <c r="D34" s="130"/>
      <c r="E34" s="130"/>
      <c r="F34" s="130"/>
      <c r="G34" s="142"/>
      <c r="H34" s="131"/>
      <c r="I34" s="1"/>
    </row>
    <row r="35" spans="1:9" x14ac:dyDescent="0.25">
      <c r="A35" s="1"/>
      <c r="B35" s="136" t="s">
        <v>74</v>
      </c>
      <c r="C35" s="137"/>
      <c r="D35" s="137"/>
      <c r="E35" s="137"/>
      <c r="F35" s="138"/>
      <c r="G35" s="58">
        <f>(G29+G30-G31)*(1+'Fane 13. Nøgletal'!C13)</f>
        <v>17508567.054882269</v>
      </c>
      <c r="H35" s="14" t="s">
        <v>3</v>
      </c>
      <c r="I35" s="1"/>
    </row>
    <row r="36" spans="1:9" x14ac:dyDescent="0.25">
      <c r="A36" s="1"/>
      <c r="B36" s="26" t="s">
        <v>258</v>
      </c>
      <c r="C36" s="80"/>
      <c r="D36" s="80"/>
      <c r="E36" s="80"/>
      <c r="F36" s="81"/>
      <c r="G36" s="66">
        <f>SUM('[4]Fane 2.1. Økonomisk ramme 2022'!C10)*(1+'[4]Fane 12. Nøgletal'!C14)</f>
        <v>74755.182865285693</v>
      </c>
      <c r="H36" s="14" t="s">
        <v>3</v>
      </c>
      <c r="I36" s="1"/>
    </row>
    <row r="37" spans="1:9" x14ac:dyDescent="0.25">
      <c r="A37" s="1"/>
      <c r="B37" s="136" t="s">
        <v>152</v>
      </c>
      <c r="C37" s="137"/>
      <c r="D37" s="137"/>
      <c r="E37" s="137"/>
      <c r="F37" s="138"/>
      <c r="G37" s="58">
        <f>('Fane 3. Omkostninger i ØR2022'!E10+'Fane 3. Omkostninger i ØR2022'!E12+'Fane 3. Omkostninger i ØR2022'!E14)*(1+'Fane 13. Nøgletal'!C14)</f>
        <v>1185728.2383774901</v>
      </c>
      <c r="H37" s="14" t="s">
        <v>3</v>
      </c>
      <c r="I37" s="1"/>
    </row>
    <row r="38" spans="1:9" x14ac:dyDescent="0.25">
      <c r="A38" s="1"/>
      <c r="B38" s="136" t="s">
        <v>134</v>
      </c>
      <c r="C38" s="137"/>
      <c r="D38" s="137"/>
      <c r="E38" s="137"/>
      <c r="F38" s="138"/>
      <c r="G38" s="58">
        <f>(G35+G37)*'Fane 13. Nøgletal'!C31</f>
        <v>373885.90586519515</v>
      </c>
      <c r="H38" s="14" t="s">
        <v>3</v>
      </c>
      <c r="I38" s="1"/>
    </row>
    <row r="39" spans="1:9" x14ac:dyDescent="0.25">
      <c r="A39" s="1"/>
      <c r="B39" s="74"/>
      <c r="C39" s="75"/>
      <c r="D39" s="75"/>
      <c r="E39" s="75"/>
      <c r="F39" s="75"/>
      <c r="G39" s="59"/>
      <c r="H39" s="19"/>
      <c r="I39" s="1"/>
    </row>
    <row r="40" spans="1:9" x14ac:dyDescent="0.25">
      <c r="A40" s="1"/>
      <c r="B40" s="1"/>
      <c r="C40" s="1"/>
      <c r="D40" s="1"/>
      <c r="E40" s="1"/>
      <c r="F40" s="1"/>
      <c r="G40" s="60"/>
      <c r="H40" s="1"/>
      <c r="I40" s="1"/>
    </row>
    <row r="41" spans="1:9" x14ac:dyDescent="0.25">
      <c r="A41" s="1"/>
      <c r="B41" s="129" t="s">
        <v>198</v>
      </c>
      <c r="C41" s="130"/>
      <c r="D41" s="130"/>
      <c r="E41" s="130"/>
      <c r="F41" s="130"/>
      <c r="G41" s="142"/>
      <c r="H41" s="131"/>
      <c r="I41" s="1"/>
    </row>
    <row r="42" spans="1:9" x14ac:dyDescent="0.25">
      <c r="A42" s="1"/>
      <c r="B42" s="136" t="s">
        <v>73</v>
      </c>
      <c r="C42" s="137"/>
      <c r="D42" s="137"/>
      <c r="E42" s="137"/>
      <c r="F42" s="138"/>
      <c r="G42" s="58">
        <f>(G35+G37-G38)*(1+'Fane 13. Nøgletal'!C15)</f>
        <v>18972615.961585809</v>
      </c>
      <c r="H42" s="14" t="s">
        <v>3</v>
      </c>
      <c r="I42" s="1"/>
    </row>
    <row r="43" spans="1:9" x14ac:dyDescent="0.25">
      <c r="A43" s="1"/>
      <c r="B43" s="136" t="s">
        <v>197</v>
      </c>
      <c r="C43" s="137"/>
      <c r="D43" s="137"/>
      <c r="E43" s="137"/>
      <c r="F43" s="138"/>
      <c r="G43" s="58">
        <f>('Fane 2.1. Økonomisk ramme 2023'!C9+'Fane 2.1. Økonomisk ramme 2023'!C11+'Fane 2.1. Økonomisk ramme 2023'!C13)*(1+'Fane 13. Nøgletal'!C15)</f>
        <v>874186.77347627725</v>
      </c>
      <c r="H43" s="14" t="s">
        <v>3</v>
      </c>
      <c r="I43" s="1"/>
    </row>
    <row r="44" spans="1:9" x14ac:dyDescent="0.25">
      <c r="A44" s="1"/>
      <c r="B44" s="136" t="s">
        <v>208</v>
      </c>
      <c r="C44" s="137"/>
      <c r="D44" s="137"/>
      <c r="E44" s="137"/>
      <c r="F44" s="138"/>
      <c r="G44" s="58">
        <f>(G42+G43)*'Fane 13. Nøgletal'!C31</f>
        <v>396936.05470124172</v>
      </c>
      <c r="H44" s="14" t="s">
        <v>3</v>
      </c>
      <c r="I44" s="1"/>
    </row>
    <row r="45" spans="1:9" x14ac:dyDescent="0.25">
      <c r="A45" s="1"/>
      <c r="B45" s="74"/>
      <c r="C45" s="75"/>
      <c r="D45" s="75"/>
      <c r="E45" s="75"/>
      <c r="F45" s="75"/>
      <c r="G45" s="59"/>
      <c r="H45" s="19"/>
      <c r="I45" s="1"/>
    </row>
    <row r="46" spans="1:9" x14ac:dyDescent="0.25">
      <c r="A46" s="1"/>
      <c r="B46" s="1"/>
      <c r="C46" s="1"/>
      <c r="D46" s="1"/>
      <c r="E46" s="1"/>
      <c r="F46" s="1"/>
      <c r="G46" s="60"/>
      <c r="H46" s="1"/>
      <c r="I46" s="1"/>
    </row>
    <row r="47" spans="1:9" x14ac:dyDescent="0.25">
      <c r="A47" s="1"/>
      <c r="B47" s="129" t="s">
        <v>199</v>
      </c>
      <c r="C47" s="130"/>
      <c r="D47" s="130"/>
      <c r="E47" s="130"/>
      <c r="F47" s="130"/>
      <c r="G47" s="142"/>
      <c r="H47" s="131"/>
      <c r="I47" s="1"/>
    </row>
    <row r="48" spans="1:9" x14ac:dyDescent="0.25">
      <c r="A48" s="1"/>
      <c r="B48" s="136" t="s">
        <v>122</v>
      </c>
      <c r="C48" s="137"/>
      <c r="D48" s="137"/>
      <c r="E48" s="137"/>
      <c r="F48" s="138"/>
      <c r="G48" s="58">
        <f>(G42+G43-G44)*(1+'Fane 13. Nøgletal'!C15)</f>
        <v>20142281.93418169</v>
      </c>
      <c r="H48" s="14" t="s">
        <v>3</v>
      </c>
      <c r="I48" s="1"/>
    </row>
    <row r="49" spans="1:9" x14ac:dyDescent="0.25">
      <c r="A49" s="1"/>
      <c r="B49" s="136" t="s">
        <v>209</v>
      </c>
      <c r="C49" s="137"/>
      <c r="D49" s="137"/>
      <c r="E49" s="137"/>
      <c r="F49" s="138"/>
      <c r="G49" s="58">
        <f>(G48)*'Fane 13. Nøgletal'!C31</f>
        <v>402845.63868363382</v>
      </c>
      <c r="H49" s="14" t="s">
        <v>3</v>
      </c>
      <c r="I49" s="1"/>
    </row>
    <row r="50" spans="1:9" x14ac:dyDescent="0.25">
      <c r="A50" s="1"/>
      <c r="B50" s="74"/>
      <c r="C50" s="75"/>
      <c r="D50" s="75"/>
      <c r="E50" s="75"/>
      <c r="F50" s="75"/>
      <c r="G50" s="59"/>
      <c r="H50" s="19"/>
      <c r="I50" s="1"/>
    </row>
    <row r="51" spans="1:9" x14ac:dyDescent="0.25">
      <c r="A51" s="1"/>
      <c r="B51" s="1"/>
      <c r="C51" s="1"/>
      <c r="D51" s="1"/>
      <c r="E51" s="1"/>
      <c r="F51" s="1"/>
      <c r="G51" s="60"/>
      <c r="H51" s="1"/>
      <c r="I51" s="1"/>
    </row>
    <row r="52" spans="1:9" x14ac:dyDescent="0.25">
      <c r="A52" s="1"/>
      <c r="B52" s="129" t="s">
        <v>145</v>
      </c>
      <c r="C52" s="130"/>
      <c r="D52" s="130"/>
      <c r="E52" s="130"/>
      <c r="F52" s="130"/>
      <c r="G52" s="142"/>
      <c r="H52" s="131"/>
      <c r="I52" s="1"/>
    </row>
    <row r="53" spans="1:9" x14ac:dyDescent="0.25">
      <c r="A53" s="1"/>
      <c r="B53" s="136" t="s">
        <v>146</v>
      </c>
      <c r="C53" s="137"/>
      <c r="D53" s="137"/>
      <c r="E53" s="137"/>
      <c r="F53" s="138"/>
      <c r="G53" s="58">
        <f>(G48-G49)*(1+'Fane 13. Nøgletal'!C15)</f>
        <v>20442160.227617789</v>
      </c>
      <c r="H53" s="14" t="s">
        <v>3</v>
      </c>
      <c r="I53" s="1"/>
    </row>
    <row r="54" spans="1:9" x14ac:dyDescent="0.25">
      <c r="A54" s="1"/>
      <c r="B54" s="136" t="s">
        <v>147</v>
      </c>
      <c r="C54" s="137"/>
      <c r="D54" s="137"/>
      <c r="E54" s="137"/>
      <c r="F54" s="138"/>
      <c r="G54" s="58">
        <f>(G53)*'Fane 13. Nøgletal'!C31</f>
        <v>408843.2045523558</v>
      </c>
      <c r="H54" s="14" t="s">
        <v>3</v>
      </c>
      <c r="I54" s="1"/>
    </row>
    <row r="55" spans="1:9" x14ac:dyDescent="0.25">
      <c r="A55" s="1"/>
      <c r="B55" s="74"/>
      <c r="C55" s="75"/>
      <c r="D55" s="75"/>
      <c r="E55" s="75"/>
      <c r="F55" s="75"/>
      <c r="G55" s="59"/>
      <c r="H55" s="19"/>
      <c r="I55" s="1"/>
    </row>
    <row r="56" spans="1:9" x14ac:dyDescent="0.25">
      <c r="A56" s="1"/>
      <c r="B56" s="1"/>
      <c r="C56" s="1"/>
      <c r="D56" s="1"/>
      <c r="E56" s="1"/>
      <c r="F56" s="1"/>
      <c r="G56" s="60"/>
      <c r="H56" s="1"/>
      <c r="I56" s="1"/>
    </row>
    <row r="57" spans="1:9" x14ac:dyDescent="0.25">
      <c r="A57" s="1"/>
      <c r="B57" s="129" t="s">
        <v>174</v>
      </c>
      <c r="C57" s="130"/>
      <c r="D57" s="130"/>
      <c r="E57" s="130"/>
      <c r="F57" s="130"/>
      <c r="G57" s="142"/>
      <c r="H57" s="131"/>
      <c r="I57" s="1"/>
    </row>
    <row r="58" spans="1:9" x14ac:dyDescent="0.25">
      <c r="A58" s="1"/>
      <c r="B58" s="136" t="s">
        <v>175</v>
      </c>
      <c r="C58" s="137"/>
      <c r="D58" s="137"/>
      <c r="E58" s="137"/>
      <c r="F58" s="138"/>
      <c r="G58" s="58">
        <f>(G53-G54)*(1+'Fane 13. Nøgletal'!C15)</f>
        <v>20746503.109086566</v>
      </c>
      <c r="H58" s="14" t="s">
        <v>3</v>
      </c>
      <c r="I58" s="1"/>
    </row>
    <row r="59" spans="1:9" x14ac:dyDescent="0.25">
      <c r="A59" s="1"/>
      <c r="B59" s="136" t="s">
        <v>176</v>
      </c>
      <c r="C59" s="137"/>
      <c r="D59" s="137"/>
      <c r="E59" s="137"/>
      <c r="F59" s="138"/>
      <c r="G59" s="58">
        <f>(G58)*'Fane 13. Nøgletal'!C31</f>
        <v>414930.06218173134</v>
      </c>
      <c r="H59" s="14" t="s">
        <v>3</v>
      </c>
      <c r="I59" s="1"/>
    </row>
    <row r="60" spans="1:9" x14ac:dyDescent="0.25">
      <c r="A60" s="1"/>
      <c r="B60" s="74"/>
      <c r="C60" s="75"/>
      <c r="D60" s="75"/>
      <c r="E60" s="75"/>
      <c r="F60" s="75"/>
      <c r="G60" s="41"/>
      <c r="H60" s="19"/>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row r="66" spans="1:9" x14ac:dyDescent="0.25">
      <c r="A66" s="1"/>
      <c r="B66" s="1"/>
      <c r="C66" s="1"/>
      <c r="D66" s="1"/>
      <c r="E66" s="1"/>
      <c r="F66" s="1"/>
      <c r="G66" s="42"/>
      <c r="H66" s="1"/>
      <c r="I66" s="1"/>
    </row>
  </sheetData>
  <mergeCells count="38">
    <mergeCell ref="B59:F59"/>
    <mergeCell ref="B52:H52"/>
    <mergeCell ref="B53:F53"/>
    <mergeCell ref="B54:F54"/>
    <mergeCell ref="B38:F38"/>
    <mergeCell ref="B47:H47"/>
    <mergeCell ref="B37:F37"/>
    <mergeCell ref="B57:H57"/>
    <mergeCell ref="B58:F58"/>
    <mergeCell ref="B48:F48"/>
    <mergeCell ref="B49:F49"/>
    <mergeCell ref="B41:H41"/>
    <mergeCell ref="B42:F42"/>
    <mergeCell ref="B44:F44"/>
    <mergeCell ref="B43:F43"/>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66"/>
  <sheetViews>
    <sheetView showGridLines="0" view="pageLayout" zoomScaleNormal="120" workbookViewId="0"/>
  </sheetViews>
  <sheetFormatPr defaultColWidth="9" defaultRowHeight="15" x14ac:dyDescent="0.25"/>
  <cols>
    <col min="1" max="1" width="2.85546875" style="2" customWidth="1"/>
    <col min="2" max="5" width="9" style="2"/>
    <col min="6" max="6" width="32" style="2" customWidth="1"/>
    <col min="7" max="7" width="10.28515625" style="2" customWidth="1"/>
    <col min="8" max="8" width="2.85546875" style="2" bestFit="1" customWidth="1"/>
    <col min="9" max="9" width="2.85546875" style="2" customWidth="1"/>
    <col min="10" max="16384" width="9" style="2"/>
  </cols>
  <sheetData>
    <row r="1" spans="1:9" x14ac:dyDescent="0.25">
      <c r="A1" s="1"/>
      <c r="B1" s="143" t="s">
        <v>99</v>
      </c>
      <c r="C1" s="144"/>
      <c r="D1" s="144"/>
      <c r="E1" s="144"/>
      <c r="F1" s="144"/>
      <c r="G1" s="144"/>
      <c r="H1" s="144"/>
      <c r="I1" s="1"/>
    </row>
    <row r="2" spans="1:9" ht="19.899999999999999" customHeight="1" x14ac:dyDescent="0.25">
      <c r="A2" s="1"/>
      <c r="B2" s="144"/>
      <c r="C2" s="144"/>
      <c r="D2" s="144"/>
      <c r="E2" s="144"/>
      <c r="F2" s="144"/>
      <c r="G2" s="144"/>
      <c r="H2" s="144"/>
      <c r="I2" s="1"/>
    </row>
    <row r="3" spans="1:9" ht="15" customHeight="1" x14ac:dyDescent="0.25">
      <c r="A3" s="1"/>
      <c r="B3" s="145"/>
      <c r="C3" s="145"/>
      <c r="D3" s="145"/>
      <c r="E3" s="145"/>
      <c r="F3" s="145"/>
      <c r="G3" s="145"/>
      <c r="H3" s="145"/>
      <c r="I3" s="1"/>
    </row>
    <row r="4" spans="1:9" x14ac:dyDescent="0.25">
      <c r="A4" s="1"/>
      <c r="B4" s="129" t="s">
        <v>53</v>
      </c>
      <c r="C4" s="130"/>
      <c r="D4" s="130"/>
      <c r="E4" s="130"/>
      <c r="F4" s="130"/>
      <c r="G4" s="130"/>
      <c r="H4" s="131"/>
      <c r="I4" s="1"/>
    </row>
    <row r="5" spans="1:9" x14ac:dyDescent="0.25">
      <c r="A5" s="1"/>
      <c r="B5" s="136" t="s">
        <v>56</v>
      </c>
      <c r="C5" s="137"/>
      <c r="D5" s="137"/>
      <c r="E5" s="137"/>
      <c r="F5" s="138"/>
      <c r="G5" s="58">
        <v>10146511.14422214</v>
      </c>
      <c r="H5" s="14" t="s">
        <v>3</v>
      </c>
      <c r="I5" s="1"/>
    </row>
    <row r="6" spans="1:9" x14ac:dyDescent="0.25">
      <c r="A6" s="1"/>
      <c r="B6" s="136" t="s">
        <v>54</v>
      </c>
      <c r="C6" s="137"/>
      <c r="D6" s="137"/>
      <c r="E6" s="137"/>
      <c r="F6" s="138"/>
      <c r="G6" s="58">
        <f>G5*'Fane 13. Nøgletal'!C20</f>
        <v>92333.251412421479</v>
      </c>
      <c r="H6" s="14" t="s">
        <v>3</v>
      </c>
      <c r="I6" s="1"/>
    </row>
    <row r="7" spans="1:9" x14ac:dyDescent="0.25">
      <c r="A7" s="1"/>
      <c r="B7" s="74"/>
      <c r="C7" s="75"/>
      <c r="D7" s="75"/>
      <c r="E7" s="75"/>
      <c r="F7" s="75"/>
      <c r="G7" s="61"/>
      <c r="H7" s="19"/>
      <c r="I7" s="1"/>
    </row>
    <row r="8" spans="1:9" x14ac:dyDescent="0.25">
      <c r="A8" s="1"/>
      <c r="B8" s="1"/>
      <c r="C8" s="1"/>
      <c r="D8" s="1"/>
      <c r="E8" s="1"/>
      <c r="F8" s="1"/>
      <c r="G8" s="62"/>
      <c r="H8" s="1"/>
      <c r="I8" s="1"/>
    </row>
    <row r="9" spans="1:9" x14ac:dyDescent="0.25">
      <c r="A9" s="1"/>
      <c r="B9" s="129" t="s">
        <v>57</v>
      </c>
      <c r="C9" s="130"/>
      <c r="D9" s="130"/>
      <c r="E9" s="130"/>
      <c r="F9" s="130"/>
      <c r="G9" s="142"/>
      <c r="H9" s="131"/>
      <c r="I9" s="1"/>
    </row>
    <row r="10" spans="1:9" x14ac:dyDescent="0.25">
      <c r="A10" s="1"/>
      <c r="B10" s="136" t="s">
        <v>58</v>
      </c>
      <c r="C10" s="137"/>
      <c r="D10" s="137"/>
      <c r="E10" s="137"/>
      <c r="F10" s="138"/>
      <c r="G10" s="58">
        <f>(G5-G6)*(1+'Fane 13. Nøgletal'!C9)</f>
        <v>10181865.952048402</v>
      </c>
      <c r="H10" s="14" t="s">
        <v>3</v>
      </c>
      <c r="I10" s="1"/>
    </row>
    <row r="11" spans="1:9" x14ac:dyDescent="0.25">
      <c r="A11" s="1"/>
      <c r="B11" s="139" t="s">
        <v>59</v>
      </c>
      <c r="C11" s="140"/>
      <c r="D11" s="140"/>
      <c r="E11" s="140"/>
      <c r="F11" s="141"/>
      <c r="G11" s="63">
        <v>0</v>
      </c>
      <c r="H11" s="14" t="s">
        <v>3</v>
      </c>
      <c r="I11" s="1"/>
    </row>
    <row r="12" spans="1:9" x14ac:dyDescent="0.25">
      <c r="A12" s="1"/>
      <c r="B12" s="136" t="s">
        <v>60</v>
      </c>
      <c r="C12" s="137"/>
      <c r="D12" s="137"/>
      <c r="E12" s="137"/>
      <c r="F12" s="138"/>
      <c r="G12" s="58">
        <f>G10*'Fane 13. Nøgletal'!C20+G11*'Fane 13. Nøgletal'!C21</f>
        <v>92654.980163640459</v>
      </c>
      <c r="H12" s="14" t="s">
        <v>3</v>
      </c>
      <c r="I12" s="1"/>
    </row>
    <row r="13" spans="1:9" x14ac:dyDescent="0.25">
      <c r="A13" s="1"/>
      <c r="B13" s="74"/>
      <c r="C13" s="75"/>
      <c r="D13" s="75"/>
      <c r="E13" s="75"/>
      <c r="F13" s="75"/>
      <c r="G13" s="61"/>
      <c r="H13" s="19"/>
      <c r="I13" s="1"/>
    </row>
    <row r="14" spans="1:9" x14ac:dyDescent="0.25">
      <c r="A14" s="1"/>
      <c r="B14" s="1"/>
      <c r="C14" s="1"/>
      <c r="D14" s="1"/>
      <c r="E14" s="1"/>
      <c r="F14" s="1"/>
      <c r="G14" s="62"/>
      <c r="H14" s="1"/>
      <c r="I14" s="1"/>
    </row>
    <row r="15" spans="1:9" x14ac:dyDescent="0.25">
      <c r="A15" s="1"/>
      <c r="B15" s="129" t="s">
        <v>61</v>
      </c>
      <c r="C15" s="130"/>
      <c r="D15" s="130"/>
      <c r="E15" s="130"/>
      <c r="F15" s="130"/>
      <c r="G15" s="142"/>
      <c r="H15" s="131"/>
      <c r="I15" s="1"/>
    </row>
    <row r="16" spans="1:9" x14ac:dyDescent="0.25">
      <c r="A16" s="1"/>
      <c r="B16" s="136" t="s">
        <v>62</v>
      </c>
      <c r="C16" s="137"/>
      <c r="D16" s="137"/>
      <c r="E16" s="137"/>
      <c r="F16" s="138"/>
      <c r="G16" s="58">
        <f>(G10+G11-G12)*(1+'Fane 13. Nøgletal'!C11)</f>
        <v>10259718.637309613</v>
      </c>
      <c r="H16" s="14" t="s">
        <v>3</v>
      </c>
      <c r="I16" s="1"/>
    </row>
    <row r="17" spans="1:9" x14ac:dyDescent="0.25">
      <c r="A17" s="1"/>
      <c r="B17" s="136" t="s">
        <v>109</v>
      </c>
      <c r="C17" s="137"/>
      <c r="D17" s="137"/>
      <c r="E17" s="137"/>
      <c r="F17" s="138"/>
      <c r="G17" s="58">
        <v>129414.28448585492</v>
      </c>
      <c r="H17" s="14" t="s">
        <v>3</v>
      </c>
      <c r="I17" s="1"/>
    </row>
    <row r="18" spans="1:9" x14ac:dyDescent="0.25">
      <c r="A18" s="1"/>
      <c r="B18" s="139" t="s">
        <v>63</v>
      </c>
      <c r="C18" s="140"/>
      <c r="D18" s="140"/>
      <c r="E18" s="140"/>
      <c r="F18" s="141"/>
      <c r="G18" s="58">
        <v>659073.42944789003</v>
      </c>
      <c r="H18" s="14" t="s">
        <v>3</v>
      </c>
      <c r="I18" s="1"/>
    </row>
    <row r="19" spans="1:9" x14ac:dyDescent="0.25">
      <c r="A19" s="1"/>
      <c r="B19" s="136" t="s">
        <v>64</v>
      </c>
      <c r="C19" s="137"/>
      <c r="D19" s="137"/>
      <c r="E19" s="137"/>
      <c r="F19" s="138"/>
      <c r="G19" s="58">
        <f>(G16+G17+G18)*'Fane 13. Nøgletal'!C22</f>
        <v>96119.395255817188</v>
      </c>
      <c r="H19" s="14" t="s">
        <v>3</v>
      </c>
      <c r="I19" s="1"/>
    </row>
    <row r="20" spans="1:9" x14ac:dyDescent="0.25">
      <c r="A20" s="1"/>
      <c r="B20" s="74"/>
      <c r="C20" s="75"/>
      <c r="D20" s="75"/>
      <c r="E20" s="75"/>
      <c r="F20" s="75"/>
      <c r="G20" s="61"/>
      <c r="H20" s="19"/>
      <c r="I20" s="1"/>
    </row>
    <row r="21" spans="1:9" x14ac:dyDescent="0.25">
      <c r="A21" s="1"/>
      <c r="B21" s="1"/>
      <c r="C21" s="1"/>
      <c r="D21" s="1"/>
      <c r="E21" s="1"/>
      <c r="F21" s="1"/>
      <c r="G21" s="62"/>
      <c r="H21" s="1"/>
      <c r="I21" s="1"/>
    </row>
    <row r="22" spans="1:9" x14ac:dyDescent="0.25">
      <c r="A22" s="1"/>
      <c r="B22" s="129" t="s">
        <v>65</v>
      </c>
      <c r="C22" s="130"/>
      <c r="D22" s="130"/>
      <c r="E22" s="130"/>
      <c r="F22" s="130"/>
      <c r="G22" s="142"/>
      <c r="H22" s="131"/>
      <c r="I22" s="1"/>
    </row>
    <row r="23" spans="1:9" x14ac:dyDescent="0.25">
      <c r="A23" s="1"/>
      <c r="B23" s="136" t="s">
        <v>66</v>
      </c>
      <c r="C23" s="137"/>
      <c r="D23" s="137"/>
      <c r="E23" s="137"/>
      <c r="F23" s="138"/>
      <c r="G23" s="58">
        <f>(SUM(G16:G18)-G19)*(1+'Fane 13. Nøgletal'!C11)</f>
        <v>11137177.225543728</v>
      </c>
      <c r="H23" s="14" t="s">
        <v>3</v>
      </c>
      <c r="I23" s="1"/>
    </row>
    <row r="24" spans="1:9" x14ac:dyDescent="0.25">
      <c r="A24" s="1"/>
      <c r="B24" s="139" t="s">
        <v>67</v>
      </c>
      <c r="C24" s="140"/>
      <c r="D24" s="140"/>
      <c r="E24" s="140"/>
      <c r="F24" s="141"/>
      <c r="G24" s="58">
        <v>9053.8820085087009</v>
      </c>
      <c r="H24" s="14" t="s">
        <v>3</v>
      </c>
      <c r="I24" s="1"/>
    </row>
    <row r="25" spans="1:9" x14ac:dyDescent="0.25">
      <c r="A25" s="1"/>
      <c r="B25" s="136" t="s">
        <v>68</v>
      </c>
      <c r="C25" s="137"/>
      <c r="D25" s="137"/>
      <c r="E25" s="137"/>
      <c r="F25" s="138"/>
      <c r="G25" s="58">
        <f>G23*'Fane 13. Nøgletal'!C22+G24*'Fane 13. Nøgletal'!C23</f>
        <v>97150.572111272064</v>
      </c>
      <c r="H25" s="14" t="s">
        <v>3</v>
      </c>
      <c r="I25" s="1"/>
    </row>
    <row r="26" spans="1:9" x14ac:dyDescent="0.25">
      <c r="A26" s="1"/>
      <c r="B26" s="74"/>
      <c r="C26" s="75"/>
      <c r="D26" s="75"/>
      <c r="E26" s="75"/>
      <c r="F26" s="75"/>
      <c r="G26" s="61"/>
      <c r="H26" s="19"/>
      <c r="I26" s="1"/>
    </row>
    <row r="27" spans="1:9" x14ac:dyDescent="0.25">
      <c r="A27" s="1"/>
      <c r="B27" s="1"/>
      <c r="C27" s="1"/>
      <c r="D27" s="1"/>
      <c r="E27" s="1"/>
      <c r="F27" s="1"/>
      <c r="G27" s="62"/>
      <c r="H27" s="1"/>
      <c r="I27" s="1"/>
    </row>
    <row r="28" spans="1:9" x14ac:dyDescent="0.25">
      <c r="A28" s="1"/>
      <c r="B28" s="129" t="s">
        <v>130</v>
      </c>
      <c r="C28" s="130"/>
      <c r="D28" s="130"/>
      <c r="E28" s="130"/>
      <c r="F28" s="130"/>
      <c r="G28" s="142"/>
      <c r="H28" s="131"/>
      <c r="I28" s="1"/>
    </row>
    <row r="29" spans="1:9" x14ac:dyDescent="0.25">
      <c r="A29" s="1"/>
      <c r="B29" s="136" t="s">
        <v>69</v>
      </c>
      <c r="C29" s="137"/>
      <c r="D29" s="137"/>
      <c r="E29" s="137"/>
      <c r="F29" s="138"/>
      <c r="G29" s="58">
        <f>(G23+G24-G25)*(1+'Fane 13. Nøgletal'!C13)</f>
        <v>11183879.317973344</v>
      </c>
      <c r="H29" s="14" t="s">
        <v>3</v>
      </c>
      <c r="I29" s="1"/>
    </row>
    <row r="30" spans="1:9" x14ac:dyDescent="0.25">
      <c r="A30" s="1"/>
      <c r="B30" s="136" t="s">
        <v>123</v>
      </c>
      <c r="C30" s="137"/>
      <c r="D30" s="137"/>
      <c r="E30" s="137"/>
      <c r="F30" s="138"/>
      <c r="G30" s="58">
        <v>292460.54002451996</v>
      </c>
      <c r="H30" s="14" t="s">
        <v>3</v>
      </c>
      <c r="I30" s="1"/>
    </row>
    <row r="31" spans="1:9" x14ac:dyDescent="0.25">
      <c r="A31" s="1"/>
      <c r="B31" s="136" t="s">
        <v>131</v>
      </c>
      <c r="C31" s="137"/>
      <c r="D31" s="137"/>
      <c r="E31" s="137"/>
      <c r="F31" s="138"/>
      <c r="G31" s="58">
        <f>(G29+G30)*'Fane 13. Nøgletal'!C24</f>
        <v>315599.34609494125</v>
      </c>
      <c r="H31" s="14" t="s">
        <v>3</v>
      </c>
      <c r="I31" s="1"/>
    </row>
    <row r="32" spans="1:9" x14ac:dyDescent="0.25">
      <c r="A32" s="1"/>
      <c r="B32" s="74"/>
      <c r="C32" s="75"/>
      <c r="D32" s="75"/>
      <c r="E32" s="75"/>
      <c r="F32" s="75"/>
      <c r="G32" s="61"/>
      <c r="H32" s="19"/>
      <c r="I32" s="1"/>
    </row>
    <row r="33" spans="1:9" x14ac:dyDescent="0.25">
      <c r="A33" s="1"/>
      <c r="B33" s="1"/>
      <c r="C33" s="1"/>
      <c r="D33" s="1"/>
      <c r="E33" s="1"/>
      <c r="F33" s="1"/>
      <c r="G33" s="62"/>
      <c r="H33" s="1"/>
      <c r="I33" s="1"/>
    </row>
    <row r="34" spans="1:9" x14ac:dyDescent="0.25">
      <c r="A34" s="1"/>
      <c r="B34" s="129" t="s">
        <v>135</v>
      </c>
      <c r="C34" s="130"/>
      <c r="D34" s="130"/>
      <c r="E34" s="130"/>
      <c r="F34" s="130"/>
      <c r="G34" s="142"/>
      <c r="H34" s="131"/>
      <c r="I34" s="1"/>
    </row>
    <row r="35" spans="1:9" x14ac:dyDescent="0.25">
      <c r="A35" s="1"/>
      <c r="B35" s="136" t="s">
        <v>72</v>
      </c>
      <c r="C35" s="137"/>
      <c r="D35" s="137"/>
      <c r="E35" s="137"/>
      <c r="F35" s="138"/>
      <c r="G35" s="58">
        <f>(G29+G30-G31)*(1+'Fane 13. Nøgletal'!C13)</f>
        <v>11296901.546148138</v>
      </c>
      <c r="H35" s="14" t="s">
        <v>3</v>
      </c>
      <c r="I35" s="1"/>
    </row>
    <row r="36" spans="1:9" x14ac:dyDescent="0.25">
      <c r="A36" s="1"/>
      <c r="B36" s="26" t="s">
        <v>256</v>
      </c>
      <c r="C36" s="64"/>
      <c r="D36" s="64"/>
      <c r="E36" s="64"/>
      <c r="F36" s="65"/>
      <c r="G36" s="66">
        <f>SUM('[4]Fane 2.1. Økonomisk ramme 2022'!C11)*(1+'[4]Fane 12. Nøgletal'!C14)</f>
        <v>280271.65763146215</v>
      </c>
      <c r="H36" s="14" t="s">
        <v>257</v>
      </c>
      <c r="I36" s="1"/>
    </row>
    <row r="37" spans="1:9" x14ac:dyDescent="0.25">
      <c r="A37" s="1"/>
      <c r="B37" s="136" t="s">
        <v>141</v>
      </c>
      <c r="C37" s="137"/>
      <c r="D37" s="137"/>
      <c r="E37" s="137"/>
      <c r="F37" s="138"/>
      <c r="G37" s="58">
        <f>SUM('Fane 3. Omkostninger i ØR2022'!E11)*(1+'Fane 13. Nøgletal'!C14)</f>
        <v>446464.14126348007</v>
      </c>
      <c r="H37" s="14" t="s">
        <v>3</v>
      </c>
      <c r="I37" s="1"/>
    </row>
    <row r="38" spans="1:9" x14ac:dyDescent="0.25">
      <c r="A38" s="1"/>
      <c r="B38" s="136" t="s">
        <v>136</v>
      </c>
      <c r="C38" s="137"/>
      <c r="D38" s="137"/>
      <c r="E38" s="137"/>
      <c r="F38" s="138"/>
      <c r="G38" s="58">
        <f>G35*'Fane 13. Nøgletal'!C24+G37*'Fane 13. Nøgletal'!C25</f>
        <v>317272.46180977335</v>
      </c>
      <c r="H38" s="14" t="s">
        <v>3</v>
      </c>
      <c r="I38" s="1"/>
    </row>
    <row r="39" spans="1:9" x14ac:dyDescent="0.25">
      <c r="A39" s="1"/>
      <c r="B39" s="74"/>
      <c r="C39" s="75"/>
      <c r="D39" s="75"/>
      <c r="E39" s="75"/>
      <c r="F39" s="75"/>
      <c r="G39" s="61"/>
      <c r="H39" s="19"/>
      <c r="I39" s="1"/>
    </row>
    <row r="40" spans="1:9" x14ac:dyDescent="0.25">
      <c r="A40" s="1"/>
      <c r="B40" s="1"/>
      <c r="C40" s="1"/>
      <c r="D40" s="1"/>
      <c r="E40" s="1"/>
      <c r="F40" s="1"/>
      <c r="G40" s="62"/>
      <c r="H40" s="1"/>
      <c r="I40" s="1"/>
    </row>
    <row r="41" spans="1:9" x14ac:dyDescent="0.25">
      <c r="A41" s="1"/>
      <c r="B41" s="129" t="s">
        <v>200</v>
      </c>
      <c r="C41" s="130"/>
      <c r="D41" s="130"/>
      <c r="E41" s="130"/>
      <c r="F41" s="130"/>
      <c r="G41" s="142"/>
      <c r="H41" s="131"/>
      <c r="I41" s="1"/>
    </row>
    <row r="42" spans="1:9" x14ac:dyDescent="0.25">
      <c r="A42" s="1"/>
      <c r="B42" s="136" t="s">
        <v>71</v>
      </c>
      <c r="C42" s="137"/>
      <c r="D42" s="137"/>
      <c r="E42" s="137"/>
      <c r="F42" s="138"/>
      <c r="G42" s="58">
        <f>(G35+G37-G38)*(1+'Fane 13. Nøgletal'!C15)</f>
        <v>11832862.144433271</v>
      </c>
      <c r="H42" s="14" t="s">
        <v>3</v>
      </c>
      <c r="I42" s="1"/>
    </row>
    <row r="43" spans="1:9" x14ac:dyDescent="0.25">
      <c r="A43" s="1"/>
      <c r="B43" s="136" t="s">
        <v>211</v>
      </c>
      <c r="C43" s="137"/>
      <c r="D43" s="137"/>
      <c r="E43" s="137"/>
      <c r="F43" s="138"/>
      <c r="G43" s="63">
        <f>SUM('Fane 2.1. Økonomisk ramme 2023'!C10+'Fane 2.1. Økonomisk ramme 2023'!C12+'Fane 2.1. Økonomisk ramme 2023'!C14)*(1+'Fane 13. Nøgletal'!C15)</f>
        <v>314397.66551089025</v>
      </c>
      <c r="H43" s="14" t="s">
        <v>3</v>
      </c>
      <c r="I43" s="1"/>
    </row>
    <row r="44" spans="1:9" x14ac:dyDescent="0.25">
      <c r="A44" s="1"/>
      <c r="B44" s="136" t="s">
        <v>70</v>
      </c>
      <c r="C44" s="137"/>
      <c r="D44" s="137"/>
      <c r="E44" s="137"/>
      <c r="F44" s="138"/>
      <c r="G44" s="58">
        <f>(G42+G43)*'Fane 13. Nøgletal'!C26</f>
        <v>0</v>
      </c>
      <c r="H44" s="14" t="s">
        <v>3</v>
      </c>
      <c r="I44" s="1"/>
    </row>
    <row r="45" spans="1:9" x14ac:dyDescent="0.25">
      <c r="A45" s="1"/>
      <c r="B45" s="74"/>
      <c r="C45" s="75"/>
      <c r="D45" s="75"/>
      <c r="E45" s="75"/>
      <c r="F45" s="75"/>
      <c r="G45" s="61"/>
      <c r="H45" s="19"/>
      <c r="I45" s="1"/>
    </row>
    <row r="46" spans="1:9" ht="12" customHeight="1" x14ac:dyDescent="0.25">
      <c r="A46" s="1"/>
      <c r="B46" s="1"/>
      <c r="C46" s="1"/>
      <c r="D46" s="1"/>
      <c r="E46" s="1"/>
      <c r="F46" s="1"/>
      <c r="G46" s="62"/>
      <c r="H46" s="1"/>
      <c r="I46" s="1"/>
    </row>
    <row r="47" spans="1:9" x14ac:dyDescent="0.25">
      <c r="A47" s="1"/>
      <c r="B47" s="129" t="s">
        <v>201</v>
      </c>
      <c r="C47" s="130"/>
      <c r="D47" s="130"/>
      <c r="E47" s="130"/>
      <c r="F47" s="130"/>
      <c r="G47" s="142"/>
      <c r="H47" s="131"/>
      <c r="I47" s="1"/>
    </row>
    <row r="48" spans="1:9" x14ac:dyDescent="0.25">
      <c r="A48" s="1"/>
      <c r="B48" s="136" t="s">
        <v>124</v>
      </c>
      <c r="C48" s="137"/>
      <c r="D48" s="137"/>
      <c r="E48" s="137"/>
      <c r="F48" s="138"/>
      <c r="G48" s="58">
        <f>(G42+G43-G44)*(1+'Fane 13. Nøgletal'!C15)</f>
        <v>12579702.259178175</v>
      </c>
      <c r="H48" s="14" t="s">
        <v>3</v>
      </c>
      <c r="I48" s="1"/>
    </row>
    <row r="49" spans="1:9" x14ac:dyDescent="0.25">
      <c r="A49" s="1"/>
      <c r="B49" s="136" t="s">
        <v>125</v>
      </c>
      <c r="C49" s="137"/>
      <c r="D49" s="137"/>
      <c r="E49" s="137"/>
      <c r="F49" s="138"/>
      <c r="G49" s="58">
        <f>(G48)*'Fane 13. Nøgletal'!C26</f>
        <v>0</v>
      </c>
      <c r="H49" s="14" t="s">
        <v>3</v>
      </c>
      <c r="I49" s="1"/>
    </row>
    <row r="50" spans="1:9" x14ac:dyDescent="0.25">
      <c r="A50" s="1"/>
      <c r="B50" s="74"/>
      <c r="C50" s="75"/>
      <c r="D50" s="75"/>
      <c r="E50" s="75"/>
      <c r="F50" s="75"/>
      <c r="G50" s="61"/>
      <c r="H50" s="19"/>
      <c r="I50" s="1"/>
    </row>
    <row r="51" spans="1:9" x14ac:dyDescent="0.25">
      <c r="A51" s="1"/>
      <c r="B51" s="1"/>
      <c r="C51" s="1"/>
      <c r="D51" s="1"/>
      <c r="E51" s="1"/>
      <c r="F51" s="1"/>
      <c r="G51" s="62"/>
      <c r="H51" s="1"/>
      <c r="I51" s="1"/>
    </row>
    <row r="52" spans="1:9" x14ac:dyDescent="0.25">
      <c r="A52" s="1"/>
      <c r="B52" s="129" t="s">
        <v>142</v>
      </c>
      <c r="C52" s="130"/>
      <c r="D52" s="130"/>
      <c r="E52" s="130"/>
      <c r="F52" s="130"/>
      <c r="G52" s="142"/>
      <c r="H52" s="131"/>
      <c r="I52" s="1"/>
    </row>
    <row r="53" spans="1:9" x14ac:dyDescent="0.25">
      <c r="A53" s="1"/>
      <c r="B53" s="136" t="s">
        <v>143</v>
      </c>
      <c r="C53" s="137"/>
      <c r="D53" s="137"/>
      <c r="E53" s="137"/>
      <c r="F53" s="138"/>
      <c r="G53" s="58">
        <f>(G48-G49)*(1+'Fane 13. Nøgletal'!C15)</f>
        <v>13027539.659604918</v>
      </c>
      <c r="H53" s="14" t="s">
        <v>3</v>
      </c>
      <c r="I53" s="1"/>
    </row>
    <row r="54" spans="1:9" x14ac:dyDescent="0.25">
      <c r="A54" s="1"/>
      <c r="B54" s="136" t="s">
        <v>144</v>
      </c>
      <c r="C54" s="137"/>
      <c r="D54" s="137"/>
      <c r="E54" s="137"/>
      <c r="F54" s="138"/>
      <c r="G54" s="58">
        <f>(G53)*'Fane 13. Nøgletal'!C26</f>
        <v>0</v>
      </c>
      <c r="H54" s="14" t="s">
        <v>3</v>
      </c>
      <c r="I54" s="1"/>
    </row>
    <row r="55" spans="1:9" x14ac:dyDescent="0.25">
      <c r="A55" s="1"/>
      <c r="B55" s="74"/>
      <c r="C55" s="75"/>
      <c r="D55" s="75"/>
      <c r="E55" s="75"/>
      <c r="F55" s="75"/>
      <c r="G55" s="61"/>
      <c r="H55" s="19"/>
      <c r="I55" s="1"/>
    </row>
    <row r="56" spans="1:9" x14ac:dyDescent="0.25">
      <c r="A56" s="1"/>
      <c r="B56" s="1"/>
      <c r="C56" s="1"/>
      <c r="D56" s="1"/>
      <c r="E56" s="1"/>
      <c r="F56" s="1"/>
      <c r="G56" s="62"/>
      <c r="H56" s="1"/>
      <c r="I56" s="1"/>
    </row>
    <row r="57" spans="1:9" x14ac:dyDescent="0.25">
      <c r="A57" s="1"/>
      <c r="B57" s="129" t="s">
        <v>177</v>
      </c>
      <c r="C57" s="130"/>
      <c r="D57" s="130"/>
      <c r="E57" s="130"/>
      <c r="F57" s="130"/>
      <c r="G57" s="142"/>
      <c r="H57" s="131"/>
      <c r="I57" s="1"/>
    </row>
    <row r="58" spans="1:9" x14ac:dyDescent="0.25">
      <c r="A58" s="1"/>
      <c r="B58" s="136" t="s">
        <v>178</v>
      </c>
      <c r="C58" s="137"/>
      <c r="D58" s="137"/>
      <c r="E58" s="137"/>
      <c r="F58" s="138"/>
      <c r="G58" s="58">
        <f>(G53-G54)*(1+'Fane 13. Nøgletal'!C15)</f>
        <v>13491320.071486855</v>
      </c>
      <c r="H58" s="14" t="s">
        <v>3</v>
      </c>
      <c r="I58" s="1"/>
    </row>
    <row r="59" spans="1:9" x14ac:dyDescent="0.25">
      <c r="A59" s="1"/>
      <c r="B59" s="136" t="s">
        <v>179</v>
      </c>
      <c r="C59" s="137"/>
      <c r="D59" s="137"/>
      <c r="E59" s="137"/>
      <c r="F59" s="138"/>
      <c r="G59" s="58">
        <f>(G58)*'Fane 13. Nøgletal'!C26</f>
        <v>0</v>
      </c>
      <c r="H59" s="14" t="s">
        <v>3</v>
      </c>
      <c r="I59" s="1"/>
    </row>
    <row r="60" spans="1:9" x14ac:dyDescent="0.25">
      <c r="A60" s="1"/>
      <c r="B60" s="74"/>
      <c r="C60" s="75"/>
      <c r="D60" s="75"/>
      <c r="E60" s="75"/>
      <c r="F60" s="75"/>
      <c r="G60" s="75"/>
      <c r="H60" s="19"/>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row r="66" spans="1:9" x14ac:dyDescent="0.25">
      <c r="A66" s="1"/>
      <c r="B66" s="1"/>
      <c r="C66" s="1"/>
      <c r="D66" s="1"/>
      <c r="E66" s="1"/>
      <c r="F66" s="1"/>
      <c r="G66" s="1"/>
      <c r="H66" s="1"/>
      <c r="I66" s="1"/>
    </row>
  </sheetData>
  <mergeCells count="38">
    <mergeCell ref="B57:H57"/>
    <mergeCell ref="B58:F58"/>
    <mergeCell ref="B59:F59"/>
    <mergeCell ref="B1:H3"/>
    <mergeCell ref="B52:H52"/>
    <mergeCell ref="B53:F53"/>
    <mergeCell ref="B54:F54"/>
    <mergeCell ref="B35:F35"/>
    <mergeCell ref="B44:F44"/>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8:F48"/>
    <mergeCell ref="B49:F49"/>
    <mergeCell ref="B37:F37"/>
    <mergeCell ref="B43:F43"/>
    <mergeCell ref="B42:F42"/>
    <mergeCell ref="B41:H41"/>
    <mergeCell ref="B38:F38"/>
    <mergeCell ref="B47:H47"/>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0" t="s">
        <v>82</v>
      </c>
      <c r="C3" s="110"/>
      <c r="D3" s="110"/>
      <c r="E3" s="110"/>
      <c r="F3" s="110"/>
      <c r="G3" s="110"/>
      <c r="H3" s="1"/>
    </row>
    <row r="4" spans="1:8" ht="15" customHeight="1" x14ac:dyDescent="0.25">
      <c r="A4" s="1"/>
      <c r="B4" s="110"/>
      <c r="C4" s="110"/>
      <c r="D4" s="110"/>
      <c r="E4" s="110"/>
      <c r="F4" s="110"/>
      <c r="G4" s="11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9" t="s">
        <v>9</v>
      </c>
      <c r="C8" s="130"/>
      <c r="D8" s="130"/>
      <c r="E8" s="130"/>
      <c r="F8" s="130"/>
      <c r="G8" s="131"/>
      <c r="H8" s="1"/>
    </row>
    <row r="9" spans="1:8" x14ac:dyDescent="0.25">
      <c r="A9" s="1"/>
      <c r="B9" s="87" t="s">
        <v>180</v>
      </c>
      <c r="C9" s="88"/>
      <c r="D9" s="88"/>
      <c r="E9" s="88"/>
      <c r="F9" s="89"/>
      <c r="G9" s="28">
        <v>0.02</v>
      </c>
      <c r="H9" s="1"/>
    </row>
    <row r="10" spans="1:8" x14ac:dyDescent="0.25">
      <c r="A10" s="1"/>
      <c r="B10" s="85"/>
      <c r="C10" s="86"/>
      <c r="D10" s="86"/>
      <c r="E10" s="86"/>
      <c r="F10" s="86"/>
      <c r="G10" s="19"/>
      <c r="H10" s="1"/>
    </row>
    <row r="11" spans="1:8" x14ac:dyDescent="0.25">
      <c r="A11" s="1"/>
      <c r="B11" s="1"/>
      <c r="C11" s="1"/>
      <c r="D11" s="1"/>
      <c r="E11" s="1"/>
      <c r="F11" s="1"/>
      <c r="G11" s="1"/>
      <c r="H11" s="1"/>
    </row>
    <row r="12" spans="1:8" ht="31.5" customHeight="1" x14ac:dyDescent="0.25">
      <c r="A12" s="1"/>
      <c r="B12" s="146" t="s">
        <v>202</v>
      </c>
      <c r="C12" s="146"/>
      <c r="D12" s="146"/>
      <c r="E12" s="146"/>
      <c r="F12" s="146"/>
      <c r="G12" s="146"/>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Mads Frandsen</cp:lastModifiedBy>
  <cp:lastPrinted>2016-06-14T12:57:30Z</cp:lastPrinted>
  <dcterms:created xsi:type="dcterms:W3CDTF">2016-06-02T08:51:18Z</dcterms:created>
  <dcterms:modified xsi:type="dcterms:W3CDTF">2024-01-10T12:40:33Z</dcterms:modified>
</cp:coreProperties>
</file>