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enne_projektmappe" defaultThemeVersion="124226"/>
  <mc:AlternateContent xmlns:mc="http://schemas.openxmlformats.org/markup-compatibility/2006">
    <mc:Choice Requires="x15">
      <x15ac:absPath xmlns:x15ac="http://schemas.microsoft.com/office/spreadsheetml/2010/11/ac" url="E:\VAND\Sagsbehandling\Drikkevand\Frederiksberg Vand AS (V055)\ØR2024\"/>
    </mc:Choice>
  </mc:AlternateContent>
  <xr:revisionPtr revIDLastSave="0" documentId="13_ncr:1_{A860DB0E-593E-43A4-BC84-19D8E92AB61E}"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2024'!$B$7:$D$33</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C29" i="2" l="1"/>
  <c r="E23" i="42"/>
  <c r="E31" i="42" s="1"/>
  <c r="E33" i="42" s="1"/>
  <c r="C17" i="22" s="1"/>
  <c r="C17" i="15" l="1"/>
  <c r="E27" i="42"/>
  <c r="C8" i="2"/>
  <c r="C13" i="29" l="1"/>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2" i="2" l="1"/>
  <c r="G58" i="36"/>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<sst xmlns="http://schemas.openxmlformats.org/spreadsheetml/2006/main" count="553" uniqueCount="266">
  <si>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</si>
  <si>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</si>
  <si>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</si>
  <si>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</si>
  <si>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</si>
  <si>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</si>
  <si>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</si>
  <si>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</si>
  <si>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</si>
  <si>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</si>
  <si>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</si>
  <si>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</si>
  <si>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</si>
  <si>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</si>
  <si>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</si>
  <si>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</si>
  <si>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</si>
  <si>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</si>
  <si>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</si>
  <si>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</si>
  <si>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</si>
  <si>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</si>
  <si>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</si>
  <si>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</si>
  <si>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</si>
  <si>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</si>
  <si>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</si>
  <si>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</si>
  <si>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</si>
  <si>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</si>
  <si>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</si>
  <si>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</si>
  <si>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</si>
  <si>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</si>
  <si>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</si>
  <si>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</si>
  <si>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</si>
  <si>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</si>
  <si>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</si>
  <si>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</si>
  <si>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</si>
  <si>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</si>
  <si>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</si>
  <si>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</si>
  <si>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</si>
  <si>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</si>
  <si>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</si>
  <si>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</si>
  <si>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</si>
  <si>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</si>
  <si>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</si>
  <si>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</si>
  <si>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</si>
  <si>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</si>
  <si>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</si>
  <si>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</si>
  <si>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</si>
  <si>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</si>
  <si>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</si>
  <si>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</si>
  <si>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</si>
  <si>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</si>
  <si>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</si>
  <si>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</si>
  <si>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</si>
  <si>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</si>
  <si>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</si>
  <si>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</si>
  <si>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</si>
  <si>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</si>
  <si>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</si>
  <si>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</si>
  <si>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</si>
  <si>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</si>
  <si>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</si>
  <si>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</si>
  <si>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</si>
  <si>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</si>
  <si>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</si>
  <si>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</si>
  <si>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</si>
  <si>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</si>
  <si>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</si>
  <si>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</si>
  <si>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</si>
  <si>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</si>
  <si>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</si>
  <si>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</si>
  <si>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</si>
  <si>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</si>
  <si>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</si>
  <si>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</si>
  <si>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</si>
  <si>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</si>
  <si>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</si>
  <si>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</si>
  <si>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</si>
  <si>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</si>
  <si>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</si>
  <si>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</si>
  <si>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</si>
  <si>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</si>
  <si>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</si>
  <si>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</si>
  <si>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</si>
  <si>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</si>
  <si>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</si>
  <si>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</si>
  <si>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</si>
  <si>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</si>
  <si>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</si>
  <si>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</si>
  <si>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</si>
  <si>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</si>
  <si>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</si>
  <si>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</si>
  <si>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</si>
  <si>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</si>
  <si>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</si>
  <si>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</si>
  <si>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</si>
  <si>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</si>
  <si>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</si>
  <si>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</si>
  <si>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</si>
  <si>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</si>
  <si>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</si>
  <si>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</si>
  <si>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</si>
  <si>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</si>
  <si>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</si>
  <si>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</si>
  <si>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</si>
  <si>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</si>
  <si>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</si>
  <si>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</si>
  <si>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</si>
  <si>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</si>
  <si>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</si>
  <si>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</si>
  <si>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</si>
  <si>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</si>
  <si>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</si>
  <si>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</si>
  <si>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</si>
  <si>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</si>
  <si>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</si>
  <si>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</si>
  <si>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</si>
  <si>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</si>
  <si>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</si>
  <si>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</si>
  <si>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</si>
  <si>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</si>
  <si>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</si>
  <si>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</si>
  <si>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</si>
  <si>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</si>
  <si>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</si>
  <si>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</si>
  <si>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</si>
  <si>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</si>
  <si>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</si>
  <si>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</si>
  <si>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</si>
  <si>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</si>
  <si>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</si>
  <si>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</si>
  <si>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</si>
  <si>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</si>
  <si>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</si>
  <si>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</si>
  <si>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</si>
  <si>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</si>
  <si>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</si>
  <si>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</si>
  <si>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</si>
  <si>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</si>
  <si>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</si>
  <si>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</si>
  <si>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</si>
  <si>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</si>
  <si>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</si>
  <si>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</si>
  <si>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</si>
  <si>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</si>
  <si>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</si>
  <si>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</si>
  <si>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</si>
  <si>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</si>
  <si>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</si>
  <si>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</si>
  <si>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</si>
  <si>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</si>
  <si>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</si>
  <si>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</si>
  <si>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</si>
  <si>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</si>
  <si>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</si>
  <si>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</si>
  <si>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</si>
  <si>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</si>
  <si>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</si>
  <si>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</si>
  <si>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</si>
  <si>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</si>
  <si>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</si>
  <si>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</si>
  <si>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</si>
  <si>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</si>
  <si>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</si>
  <si>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</si>
  <si>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</si>
  <si>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</si>
  <si>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</si>
  <si>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</si>
  <si>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</si>
  <si>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</si>
  <si>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</si>
  <si>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</si>
  <si>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</si>
  <si>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</si>
  <si>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</si>
  <si>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</si>
  <si>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</si>
  <si>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</si>
  <si>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</si>
  <si>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</si>
  <si>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</si>
  <si>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</si>
  <si>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</si>
  <si>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</si>
  <si>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</si>
  <si>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</si>
  <si>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</si>
  <si>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</si>
  <si>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</si>
  <si>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</si>
  <si>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</si>
  <si>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</si>
  <si>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</si>
  <si>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</si>
  <si>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</si>
  <si>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</si>
  <si>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</si>
  <si>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Køb af ydelser og produkter fra andre vandselskaber reguleret af vandsektorloven</t>
  </si>
  <si>
    <t>Ejendomsskat</t>
  </si>
  <si>
    <t>Tjenestemandspensioner</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</si>
  <si>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</si>
  <si>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</si>
  <si>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</si>
  <si>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</si>
  <si>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</si>
  <si>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</si>
  <si>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</si>
  <si>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</si>
  <si>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</si>
  <si>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</si>
  <si>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</si>
  <si>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</si>
  <si>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</si>
  <si>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Forsyningssikkerhed gamle anlæg</t>
  </si>
  <si>
    <t>Sektionering</t>
  </si>
  <si>
    <t>Vandværk</t>
  </si>
  <si>
    <t>Omlægning Priorvej og Nitivej</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</si>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</sst>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2" t="s">
        <v>4</v>
      </c>
      <c r="E6" s="82"/>
      <c r="F6" s="82"/>
      <c r="G6" s="82"/>
      <c r="H6" s="3"/>
      <c r="I6" s="1"/>
    </row>
    <row r="7" spans="1:9" ht="15" customHeight="1" x14ac:dyDescent="0.25">
      <c r="A7" s="1"/>
      <c r="B7" s="1"/>
      <c r="C7" s="3"/>
      <c r="D7" s="82"/>
      <c r="E7" s="82"/>
      <c r="F7" s="82"/>
      <c r="G7" s="82"/>
      <c r="H7" s="3"/>
      <c r="I7" s="1"/>
    </row>
    <row r="8" spans="1:9" ht="15.75" x14ac:dyDescent="0.25">
      <c r="A8" s="1"/>
      <c r="B8" s="1"/>
      <c r="C8" s="4"/>
      <c r="D8" s="87" t="s">
        <v>235</v>
      </c>
      <c r="E8" s="87"/>
      <c r="F8" s="87"/>
      <c r="G8" s="87"/>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6" t="s">
        <v>5</v>
      </c>
      <c r="E11" s="86"/>
      <c r="F11" s="86"/>
      <c r="G11" s="86"/>
      <c r="H11" s="5"/>
      <c r="I11" s="1"/>
    </row>
    <row r="12" spans="1:9" x14ac:dyDescent="0.25">
      <c r="A12" s="1"/>
      <c r="B12" s="1"/>
      <c r="C12" s="1"/>
      <c r="D12" s="1"/>
      <c r="E12" s="1"/>
      <c r="F12" s="1"/>
      <c r="G12" s="1"/>
      <c r="H12" s="1"/>
      <c r="I12" s="1"/>
    </row>
    <row r="13" spans="1:9" x14ac:dyDescent="0.25">
      <c r="A13" s="1"/>
      <c r="B13" s="1"/>
      <c r="C13" s="6" t="s">
        <v>6</v>
      </c>
      <c r="D13" s="79" t="s">
        <v>162</v>
      </c>
      <c r="E13" s="80"/>
      <c r="F13" s="80"/>
      <c r="G13" s="81"/>
      <c r="H13" s="1"/>
      <c r="I13" s="1"/>
    </row>
    <row r="14" spans="1:9" x14ac:dyDescent="0.25">
      <c r="A14" s="1"/>
      <c r="B14" s="1"/>
      <c r="C14" s="6" t="s">
        <v>14</v>
      </c>
      <c r="D14" s="79" t="s">
        <v>197</v>
      </c>
      <c r="E14" s="80"/>
      <c r="F14" s="80"/>
      <c r="G14" s="81"/>
      <c r="H14" s="1"/>
      <c r="I14" s="1"/>
    </row>
    <row r="15" spans="1:9" x14ac:dyDescent="0.25">
      <c r="A15" s="1"/>
      <c r="B15" s="1"/>
      <c r="C15" s="6" t="s">
        <v>30</v>
      </c>
      <c r="D15" s="79" t="s">
        <v>141</v>
      </c>
      <c r="E15" s="80"/>
      <c r="F15" s="80"/>
      <c r="G15" s="81"/>
      <c r="H15" s="1"/>
      <c r="I15" s="1"/>
    </row>
    <row r="16" spans="1:9" x14ac:dyDescent="0.25">
      <c r="A16" s="1"/>
      <c r="B16" s="1"/>
      <c r="C16" s="6" t="s">
        <v>31</v>
      </c>
      <c r="D16" s="79" t="s">
        <v>194</v>
      </c>
      <c r="E16" s="80"/>
      <c r="F16" s="80"/>
      <c r="G16" s="81"/>
      <c r="H16" s="1"/>
      <c r="I16" s="1"/>
    </row>
    <row r="17" spans="1:9" x14ac:dyDescent="0.25">
      <c r="A17" s="1"/>
      <c r="B17" s="1"/>
      <c r="C17" s="6" t="s">
        <v>102</v>
      </c>
      <c r="D17" s="79" t="s">
        <v>195</v>
      </c>
      <c r="E17" s="80"/>
      <c r="F17" s="80"/>
      <c r="G17" s="81"/>
      <c r="H17" s="1"/>
      <c r="I17" s="1"/>
    </row>
    <row r="18" spans="1:9" x14ac:dyDescent="0.25">
      <c r="A18" s="1"/>
      <c r="B18" s="1"/>
      <c r="C18" s="6" t="s">
        <v>86</v>
      </c>
      <c r="D18" s="88" t="s">
        <v>79</v>
      </c>
      <c r="E18" s="89"/>
      <c r="F18" s="89"/>
      <c r="G18" s="90"/>
      <c r="H18" s="1"/>
      <c r="I18" s="1"/>
    </row>
    <row r="19" spans="1:9" x14ac:dyDescent="0.25">
      <c r="A19" s="1"/>
      <c r="B19" s="1"/>
      <c r="C19" s="6" t="s">
        <v>87</v>
      </c>
      <c r="D19" s="88" t="s">
        <v>80</v>
      </c>
      <c r="E19" s="89"/>
      <c r="F19" s="89"/>
      <c r="G19" s="90"/>
      <c r="H19" s="1"/>
      <c r="I19" s="1"/>
    </row>
    <row r="20" spans="1:9" x14ac:dyDescent="0.25">
      <c r="A20" s="1"/>
      <c r="B20" s="1"/>
      <c r="C20" s="6" t="s">
        <v>7</v>
      </c>
      <c r="D20" s="88" t="s">
        <v>9</v>
      </c>
      <c r="E20" s="89"/>
      <c r="F20" s="89"/>
      <c r="G20" s="90"/>
      <c r="H20" s="1"/>
      <c r="I20" s="1"/>
    </row>
    <row r="21" spans="1:9" x14ac:dyDescent="0.25">
      <c r="A21" s="1"/>
      <c r="B21" s="1"/>
      <c r="C21" s="6" t="s">
        <v>88</v>
      </c>
      <c r="D21" s="94" t="s">
        <v>11</v>
      </c>
      <c r="E21" s="95"/>
      <c r="F21" s="95"/>
      <c r="G21" s="96"/>
      <c r="H21" s="1"/>
      <c r="I21" s="1"/>
    </row>
    <row r="22" spans="1:9" x14ac:dyDescent="0.25">
      <c r="A22" s="1"/>
      <c r="B22" s="1"/>
      <c r="C22" s="6" t="s">
        <v>73</v>
      </c>
      <c r="D22" s="83" t="s">
        <v>196</v>
      </c>
      <c r="E22" s="84"/>
      <c r="F22" s="84"/>
      <c r="G22" s="85"/>
      <c r="H22" s="1"/>
      <c r="I22" s="1"/>
    </row>
    <row r="23" spans="1:9" x14ac:dyDescent="0.25">
      <c r="A23" s="1"/>
      <c r="B23" s="1"/>
      <c r="C23" s="6" t="s">
        <v>8</v>
      </c>
      <c r="D23" s="83" t="s">
        <v>176</v>
      </c>
      <c r="E23" s="84"/>
      <c r="F23" s="84"/>
      <c r="G23" s="85"/>
      <c r="H23" s="1"/>
      <c r="I23" s="1"/>
    </row>
    <row r="24" spans="1:9" x14ac:dyDescent="0.25">
      <c r="A24" s="1"/>
      <c r="B24" s="1"/>
      <c r="C24" s="6" t="s">
        <v>172</v>
      </c>
      <c r="D24" s="83" t="s">
        <v>163</v>
      </c>
      <c r="E24" s="84"/>
      <c r="F24" s="84"/>
      <c r="G24" s="85"/>
      <c r="H24" s="1"/>
      <c r="I24" s="1"/>
    </row>
    <row r="25" spans="1:9" x14ac:dyDescent="0.25">
      <c r="A25" s="1"/>
      <c r="B25" s="1"/>
      <c r="C25" s="6" t="s">
        <v>173</v>
      </c>
      <c r="D25" s="83" t="s">
        <v>74</v>
      </c>
      <c r="E25" s="84"/>
      <c r="F25" s="84"/>
      <c r="G25" s="85"/>
      <c r="H25" s="1"/>
      <c r="I25" s="1"/>
    </row>
    <row r="26" spans="1:9" x14ac:dyDescent="0.25">
      <c r="A26" s="1"/>
      <c r="B26" s="1"/>
      <c r="C26" s="6" t="s">
        <v>174</v>
      </c>
      <c r="D26" s="83" t="s">
        <v>75</v>
      </c>
      <c r="E26" s="84"/>
      <c r="F26" s="84"/>
      <c r="G26" s="85"/>
      <c r="H26" s="1"/>
      <c r="I26" s="1"/>
    </row>
    <row r="27" spans="1:9" x14ac:dyDescent="0.25">
      <c r="A27" s="1"/>
      <c r="B27" s="1"/>
      <c r="C27" s="6" t="s">
        <v>89</v>
      </c>
      <c r="D27" s="83" t="s">
        <v>103</v>
      </c>
      <c r="E27" s="84"/>
      <c r="F27" s="84"/>
      <c r="G27" s="85"/>
      <c r="H27" s="1"/>
      <c r="I27" s="1"/>
    </row>
    <row r="28" spans="1:9" x14ac:dyDescent="0.25">
      <c r="A28" s="1"/>
      <c r="B28" s="1"/>
      <c r="C28" s="6" t="s">
        <v>83</v>
      </c>
      <c r="D28" s="83" t="s">
        <v>32</v>
      </c>
      <c r="E28" s="84"/>
      <c r="F28" s="84"/>
      <c r="G28" s="85"/>
      <c r="H28" s="1"/>
      <c r="I28" s="1"/>
    </row>
    <row r="29" spans="1:9" x14ac:dyDescent="0.25">
      <c r="A29" s="1"/>
      <c r="B29" s="1"/>
      <c r="C29" s="6" t="s">
        <v>175</v>
      </c>
      <c r="D29" s="91" t="s">
        <v>84</v>
      </c>
      <c r="E29" s="92"/>
      <c r="F29" s="92"/>
      <c r="G29" s="93"/>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cXFEtPzpIy3jwoI/PkSu9hv3x1jh7h+eNFJCgt6KXnBsBtkuNkaovUBNq+2RKlUW4AOI6d4aPaemMdhh0wLBGg==" saltValue="R0D6X96+Mh4dtGx8gMn5oQ=="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198</v>
      </c>
      <c r="C3" s="97"/>
      <c r="D3" s="97"/>
      <c r="E3" s="1"/>
    </row>
    <row r="4" spans="1:5" ht="15" customHeight="1"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45620994.089539498</v>
      </c>
      <c r="D8" s="8" t="s">
        <v>3</v>
      </c>
      <c r="E8" s="1"/>
    </row>
    <row r="9" spans="1:5" ht="17.100000000000001" customHeight="1" x14ac:dyDescent="0.25">
      <c r="A9" s="1"/>
      <c r="B9" s="24" t="s">
        <v>33</v>
      </c>
      <c r="C9" s="7">
        <f>'Fane 10.1. Varige tillæg'!C18</f>
        <v>45660.5576</v>
      </c>
      <c r="D9" s="8" t="s">
        <v>3</v>
      </c>
      <c r="E9" s="1"/>
    </row>
    <row r="10" spans="1:5" ht="17.100000000000001" customHeight="1" x14ac:dyDescent="0.25">
      <c r="A10" s="1"/>
      <c r="B10" s="24" t="s">
        <v>34</v>
      </c>
      <c r="C10" s="9">
        <f>'Fane 10.1. Varige tillæg'!E18</f>
        <v>18981711.0392</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3161519.0146090463</v>
      </c>
      <c r="D15" s="8" t="s">
        <v>3</v>
      </c>
      <c r="E15" s="1"/>
    </row>
    <row r="16" spans="1:5" ht="17.100000000000001" customHeight="1" x14ac:dyDescent="0.25">
      <c r="A16" s="1"/>
      <c r="B16" s="24" t="s">
        <v>9</v>
      </c>
      <c r="C16" s="9">
        <f>-SUM(C8,C9:C15)*'Fane 5. Individuelt eff. krav'!G9</f>
        <v>0</v>
      </c>
      <c r="D16" s="8" t="s">
        <v>3</v>
      </c>
      <c r="E16" s="1"/>
    </row>
    <row r="17" spans="1:5" ht="17.100000000000001" customHeight="1" x14ac:dyDescent="0.25">
      <c r="A17" s="1"/>
      <c r="B17" s="24" t="s">
        <v>22</v>
      </c>
      <c r="C17" s="9">
        <f>-'Fane 4.1. Gen. krav - drift'!G49</f>
        <v>-634008.28837640421</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3" t="s">
        <v>19</v>
      </c>
      <c r="C19" s="10">
        <f>SUM(C8:C18)</f>
        <v>67175876.412572131</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49629452.156345598</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3" t="s">
        <v>76</v>
      </c>
      <c r="C27" s="57">
        <f>SUM(C23:C26)</f>
        <v>0</v>
      </c>
      <c r="D27" s="11" t="s">
        <v>3</v>
      </c>
      <c r="E27" s="1"/>
    </row>
    <row r="28" spans="1:5" ht="15" customHeight="1" x14ac:dyDescent="0.25">
      <c r="A28" s="1"/>
      <c r="B28" s="26" t="s">
        <v>117</v>
      </c>
      <c r="C28" s="53"/>
      <c r="D28" s="19"/>
      <c r="E28" s="1"/>
    </row>
    <row r="29" spans="1:5" x14ac:dyDescent="0.25">
      <c r="A29" s="1"/>
      <c r="B29" s="72" t="s">
        <v>118</v>
      </c>
      <c r="C29" s="10">
        <f>'Fane 7. Kontrol af ØR2022'!E15</f>
        <v>0</v>
      </c>
      <c r="D29" s="11" t="s">
        <v>3</v>
      </c>
      <c r="E29" s="1"/>
    </row>
    <row r="30" spans="1:5" x14ac:dyDescent="0.25">
      <c r="A30" s="1"/>
      <c r="B30" s="26" t="s">
        <v>138</v>
      </c>
      <c r="C30" s="53"/>
      <c r="D30" s="19"/>
      <c r="E30" s="1"/>
    </row>
    <row r="31" spans="1:5" x14ac:dyDescent="0.25">
      <c r="A31" s="1"/>
      <c r="B31" s="72" t="s">
        <v>139</v>
      </c>
      <c r="C31" s="10">
        <f>'Fane 8. Skattesagen'!G13</f>
        <v>0</v>
      </c>
      <c r="D31" s="11" t="s">
        <v>3</v>
      </c>
      <c r="E31" s="1"/>
    </row>
    <row r="32" spans="1:5" x14ac:dyDescent="0.25">
      <c r="A32" s="1"/>
      <c r="B32" s="52" t="s">
        <v>126</v>
      </c>
      <c r="C32" s="33">
        <f>SUM(C19,C21,C27,C29,C31)</f>
        <v>116805328.56891772</v>
      </c>
      <c r="D32" s="19" t="s">
        <v>3</v>
      </c>
      <c r="E32" s="1"/>
    </row>
    <row r="33" spans="1:5" x14ac:dyDescent="0.25">
      <c r="A33" s="1"/>
      <c r="B33" s="1" t="s">
        <v>168</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bCdNbfdbKgZSFxY5cxwkNwh/iZHdKSe5L1LIf5rNcRj72N4bdxdrY1koZJTkM0i5REC14uvM92wseRdLpM3gZw==" saltValue="ozBpcny1BqxFOl0g55djXA=="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0.7109375" style="2" customWidth="1"/>
    <col min="3" max="3" width="10.85546875" style="2" bestFit="1"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199</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67175876.412572131</v>
      </c>
      <c r="D8" s="8" t="s">
        <v>3</v>
      </c>
      <c r="E8" s="1"/>
    </row>
    <row r="9" spans="1:5" ht="15" customHeight="1" x14ac:dyDescent="0.25">
      <c r="A9" s="1"/>
      <c r="B9" s="29" t="s">
        <v>17</v>
      </c>
      <c r="C9" s="9">
        <f>SUM(C8:C8)*'Fane 13. Nøgletal'!C16</f>
        <v>5427810.8141358281</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drift'!G54</f>
        <v>-671531.4349156731</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71932155.791792288</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53639511.890578322</v>
      </c>
      <c r="D15" s="11" t="s">
        <v>3</v>
      </c>
      <c r="E15" s="1"/>
    </row>
    <row r="16" spans="1:5" x14ac:dyDescent="0.25">
      <c r="A16" s="1"/>
      <c r="B16" s="26" t="s">
        <v>117</v>
      </c>
      <c r="C16" s="53"/>
      <c r="D16" s="19"/>
      <c r="E16" s="1"/>
    </row>
    <row r="17" spans="1:5" ht="15" customHeight="1" x14ac:dyDescent="0.25">
      <c r="A17" s="1"/>
      <c r="B17" s="72" t="s">
        <v>118</v>
      </c>
      <c r="C17" s="10">
        <f>'Fane 7. Kontrol af ØR2022'!E33</f>
        <v>-1499105.5</v>
      </c>
      <c r="D17" s="11" t="s">
        <v>3</v>
      </c>
      <c r="E17" s="1"/>
    </row>
    <row r="18" spans="1:5" x14ac:dyDescent="0.25">
      <c r="A18" s="1"/>
      <c r="B18" s="26" t="s">
        <v>138</v>
      </c>
      <c r="C18" s="53"/>
      <c r="D18" s="19"/>
      <c r="E18" s="1"/>
    </row>
    <row r="19" spans="1:5" x14ac:dyDescent="0.25">
      <c r="A19" s="1"/>
      <c r="B19" s="72" t="s">
        <v>139</v>
      </c>
      <c r="C19" s="10">
        <f>'Fane 8. Skattesagen'!G13</f>
        <v>0</v>
      </c>
      <c r="D19" s="11" t="s">
        <v>3</v>
      </c>
      <c r="E19" s="1"/>
    </row>
    <row r="20" spans="1:5" x14ac:dyDescent="0.25">
      <c r="A20" s="1"/>
      <c r="B20" s="52" t="s">
        <v>128</v>
      </c>
      <c r="C20" s="12">
        <f>SUM(C13,C15,C17,C19)</f>
        <v>124072562.1823706</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M3XpZ/SaOKyKSK1XVjMUsE8qrQDmMyaGre4B8hhtWYvu02fQw3RGZG6VBMhTTS4OrGQqTRDRZkBM7wEA3Lkvjw==" saltValue="kkPWRGGgZ7xPdI/DRoolF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1.140625" style="2" customWidth="1"/>
    <col min="3" max="3" width="10.85546875" style="2" bestFit="1"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200</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71932155.791792288</v>
      </c>
      <c r="D8" s="8" t="s">
        <v>3</v>
      </c>
      <c r="E8" s="1"/>
    </row>
    <row r="9" spans="1:5" ht="15" customHeight="1" x14ac:dyDescent="0.25">
      <c r="A9" s="1"/>
      <c r="B9" s="29" t="s">
        <v>17</v>
      </c>
      <c r="C9" s="9">
        <f>SUM(C8:C8)*'Fane 13. Nøgletal'!C16</f>
        <v>5812118.1879768167</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drift'!G59</f>
        <v>-711275.35135972232</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77032998.628409386</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57973584.451337047</v>
      </c>
      <c r="D15" s="11" t="s">
        <v>3</v>
      </c>
      <c r="E15" s="1"/>
    </row>
    <row r="16" spans="1:5" x14ac:dyDescent="0.25">
      <c r="A16" s="1"/>
      <c r="B16" s="52" t="s">
        <v>117</v>
      </c>
      <c r="C16" s="53"/>
      <c r="D16" s="19"/>
      <c r="E16" s="1"/>
    </row>
    <row r="17" spans="1:5" x14ac:dyDescent="0.25">
      <c r="A17" s="1"/>
      <c r="B17" s="54" t="s">
        <v>118</v>
      </c>
      <c r="C17" s="10">
        <f>'Fane 7. Kontrol af ØR2022'!E33</f>
        <v>-1499105.5</v>
      </c>
      <c r="D17" s="11" t="s">
        <v>3</v>
      </c>
      <c r="E17" s="1"/>
    </row>
    <row r="18" spans="1:5" ht="15" customHeight="1" x14ac:dyDescent="0.25">
      <c r="A18" s="1"/>
      <c r="B18" s="26" t="s">
        <v>138</v>
      </c>
      <c r="C18" s="53"/>
      <c r="D18" s="19"/>
      <c r="E18" s="1"/>
    </row>
    <row r="19" spans="1:5" ht="15" customHeight="1" x14ac:dyDescent="0.25">
      <c r="A19" s="1"/>
      <c r="B19" s="72" t="s">
        <v>139</v>
      </c>
      <c r="C19" s="10">
        <f>'Fane 8. Skattesagen'!G14</f>
        <v>0</v>
      </c>
      <c r="D19" s="11" t="s">
        <v>3</v>
      </c>
      <c r="E19" s="1"/>
    </row>
    <row r="20" spans="1:5" x14ac:dyDescent="0.25">
      <c r="A20" s="1"/>
      <c r="B20" s="52" t="s">
        <v>143</v>
      </c>
      <c r="C20" s="12">
        <f>SUM(C13,C15,C17,C19)</f>
        <v>133507477.57974643</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n8SrIZ0ymZhScGtQQKo9GxdSZvYd0etfEAmk5YELIiTzd/N17rrazzuZb7rmDDO0DHwPXF/wwy0JS1c+/2oIFA==" saltValue="7ihHWsleWB9CKNZddj2sN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1.5703125" style="2" customWidth="1"/>
    <col min="3" max="3" width="10.85546875" style="2" bestFit="1"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204</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77032998.628409386</v>
      </c>
      <c r="D8" s="8" t="s">
        <v>3</v>
      </c>
      <c r="E8" s="1"/>
    </row>
    <row r="9" spans="1:5" ht="15" customHeight="1" x14ac:dyDescent="0.25">
      <c r="A9" s="1"/>
      <c r="B9" s="29" t="s">
        <v>17</v>
      </c>
      <c r="C9" s="9">
        <f>SUM(C8:C8)*'Fane 13. Nøgletal'!C16</f>
        <v>6224266.2891754778</v>
      </c>
      <c r="D9" s="8" t="s">
        <v>3</v>
      </c>
      <c r="E9" s="1"/>
    </row>
    <row r="10" spans="1:5" ht="15" customHeight="1" x14ac:dyDescent="0.25">
      <c r="A10" s="1"/>
      <c r="B10" s="29" t="s">
        <v>9</v>
      </c>
      <c r="C10" s="9">
        <f>-SUM(C8:C9)*'Fane 5. Individuelt eff. krav'!G9</f>
        <v>0</v>
      </c>
      <c r="D10" s="8" t="s">
        <v>3</v>
      </c>
      <c r="E10" s="1"/>
    </row>
    <row r="11" spans="1:5" ht="15" customHeight="1" x14ac:dyDescent="0.25">
      <c r="A11" s="1"/>
      <c r="B11" s="29" t="s">
        <v>22</v>
      </c>
      <c r="C11" s="9">
        <f>-'Fane 4.1. Gen. krav - drift'!G64</f>
        <v>-753371.4717545961</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82503893.445830271</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62657850.075005077</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72" t="s">
        <v>139</v>
      </c>
      <c r="C19" s="10">
        <f>'Fane 8. Skattesagen'!G15</f>
        <v>0</v>
      </c>
      <c r="D19" s="11" t="s">
        <v>3</v>
      </c>
      <c r="E19" s="1"/>
    </row>
    <row r="20" spans="1:5" x14ac:dyDescent="0.25">
      <c r="A20" s="1"/>
      <c r="B20" s="52" t="s">
        <v>205</v>
      </c>
      <c r="C20" s="12">
        <f>SUM(C13,C15,C17,C19)</f>
        <v>145161743.52083534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klUcoLu+m2vwzQdYxvw+0umAzLbpMXDP89O+PpdOwUHko8i0JHgvXgLS5uYROEXwnP5E569IPIAWnEuunT4Ceg==" saltValue="4yCDts5GYDe+Gif2xmDBX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0" t="s">
        <v>201</v>
      </c>
      <c r="C3" s="100"/>
      <c r="D3" s="100"/>
      <c r="E3" s="1"/>
    </row>
    <row r="4" spans="1:5" x14ac:dyDescent="0.25">
      <c r="A4" s="1"/>
      <c r="B4" s="100"/>
      <c r="C4" s="100"/>
      <c r="D4" s="100"/>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43837630.386231869</v>
      </c>
      <c r="D8" s="8" t="s">
        <v>3</v>
      </c>
      <c r="E8" s="1"/>
    </row>
    <row r="9" spans="1:5" x14ac:dyDescent="0.25">
      <c r="A9" s="1"/>
      <c r="B9" s="24" t="s">
        <v>33</v>
      </c>
      <c r="C9" s="7">
        <v>0</v>
      </c>
      <c r="D9" s="8" t="s">
        <v>3</v>
      </c>
      <c r="E9" s="1"/>
    </row>
    <row r="10" spans="1:5" x14ac:dyDescent="0.25">
      <c r="A10" s="1"/>
      <c r="B10" s="24" t="s">
        <v>34</v>
      </c>
      <c r="C10" s="9">
        <v>817380.43920000002</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1589718.3853853745</v>
      </c>
      <c r="D15" s="8" t="s">
        <v>3</v>
      </c>
      <c r="E15" s="1"/>
    </row>
    <row r="16" spans="1:5" x14ac:dyDescent="0.25">
      <c r="A16" s="1"/>
      <c r="B16" s="24" t="s">
        <v>9</v>
      </c>
      <c r="C16" s="9">
        <v>0</v>
      </c>
      <c r="D16" s="8" t="s">
        <v>3</v>
      </c>
      <c r="E16" s="1"/>
    </row>
    <row r="17" spans="1:5" x14ac:dyDescent="0.25">
      <c r="A17" s="1"/>
      <c r="B17" s="24" t="s">
        <v>22</v>
      </c>
      <c r="C17" s="9">
        <v>-623735.12127773953</v>
      </c>
      <c r="D17" s="8" t="s">
        <v>3</v>
      </c>
      <c r="E17" s="1"/>
    </row>
    <row r="18" spans="1:5" x14ac:dyDescent="0.25">
      <c r="A18" s="1"/>
      <c r="B18" s="24" t="s">
        <v>23</v>
      </c>
      <c r="C18" s="9">
        <v>0</v>
      </c>
      <c r="D18" s="8" t="s">
        <v>3</v>
      </c>
      <c r="E18" s="1"/>
    </row>
    <row r="19" spans="1:5" x14ac:dyDescent="0.25">
      <c r="A19" s="1"/>
      <c r="B19" s="73" t="s">
        <v>19</v>
      </c>
      <c r="C19" s="10">
        <v>45620994.089539498</v>
      </c>
      <c r="D19" s="11" t="s">
        <v>3</v>
      </c>
      <c r="E19" s="1"/>
    </row>
    <row r="20" spans="1:5" x14ac:dyDescent="0.25">
      <c r="A20" s="1"/>
      <c r="B20" s="52" t="s">
        <v>11</v>
      </c>
      <c r="C20" s="53"/>
      <c r="D20" s="19"/>
      <c r="E20" s="1"/>
    </row>
    <row r="21" spans="1:5" x14ac:dyDescent="0.25">
      <c r="A21" s="1"/>
      <c r="B21" s="54" t="s">
        <v>11</v>
      </c>
      <c r="C21" s="10">
        <v>47635059.264088295</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3" t="s">
        <v>76</v>
      </c>
      <c r="C27" s="57">
        <v>0</v>
      </c>
      <c r="D27" s="11" t="s">
        <v>3</v>
      </c>
      <c r="E27" s="1"/>
    </row>
    <row r="28" spans="1:5" x14ac:dyDescent="0.25">
      <c r="A28" s="1"/>
      <c r="B28" s="26" t="s">
        <v>117</v>
      </c>
      <c r="C28" s="53"/>
      <c r="D28" s="19"/>
      <c r="E28" s="1"/>
    </row>
    <row r="29" spans="1:5" x14ac:dyDescent="0.25">
      <c r="A29" s="1"/>
      <c r="B29" s="72" t="s">
        <v>118</v>
      </c>
      <c r="C29" s="10">
        <v>0</v>
      </c>
      <c r="D29" s="11" t="s">
        <v>3</v>
      </c>
      <c r="E29" s="1"/>
    </row>
    <row r="30" spans="1:5" x14ac:dyDescent="0.25">
      <c r="A30" s="1"/>
      <c r="B30" s="26" t="s">
        <v>138</v>
      </c>
      <c r="C30" s="53"/>
      <c r="D30" s="19"/>
      <c r="E30" s="1"/>
    </row>
    <row r="31" spans="1:5" x14ac:dyDescent="0.25">
      <c r="A31" s="1"/>
      <c r="B31" s="72" t="s">
        <v>139</v>
      </c>
      <c r="C31" s="10">
        <v>0</v>
      </c>
      <c r="D31" s="11" t="s">
        <v>3</v>
      </c>
      <c r="E31" s="1"/>
    </row>
    <row r="32" spans="1:5" x14ac:dyDescent="0.25">
      <c r="A32" s="1"/>
      <c r="B32" s="52" t="s">
        <v>239</v>
      </c>
      <c r="C32" s="33">
        <v>93256053.353627801</v>
      </c>
      <c r="D32" s="19" t="s">
        <v>3</v>
      </c>
      <c r="E32" s="1"/>
    </row>
    <row r="33" spans="1:5" ht="30" customHeight="1" x14ac:dyDescent="0.25">
      <c r="A33" s="1"/>
      <c r="B33" s="99" t="s">
        <v>240</v>
      </c>
      <c r="C33" s="99"/>
      <c r="D33" s="9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rNDAE4PjL0nt3lu+nzdEDLb4Kekdd74dOpJhJw9ZnUoeacjvs/OVOtyRAYRXE3pTIluqrRGpzteZMvzlJIyWmg==" saltValue="+hK9sw9sVaFH0wRkd5GoXg=="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0" t="s">
        <v>90</v>
      </c>
      <c r="C1" s="100"/>
      <c r="D1" s="100"/>
      <c r="E1" s="100"/>
      <c r="F1" s="100"/>
      <c r="G1" s="100"/>
      <c r="H1" s="100"/>
      <c r="I1" s="1"/>
    </row>
    <row r="2" spans="1:9" ht="15" customHeight="1" x14ac:dyDescent="0.25">
      <c r="A2" s="1"/>
      <c r="B2" s="100"/>
      <c r="C2" s="100"/>
      <c r="D2" s="100"/>
      <c r="E2" s="100"/>
      <c r="F2" s="100"/>
      <c r="G2" s="100"/>
      <c r="H2" s="100"/>
      <c r="I2" s="1"/>
    </row>
    <row r="3" spans="1:9" ht="15" customHeight="1" x14ac:dyDescent="0.25">
      <c r="A3" s="1"/>
      <c r="B3" s="100"/>
      <c r="C3" s="100"/>
      <c r="D3" s="100"/>
      <c r="E3" s="100"/>
      <c r="F3" s="100"/>
      <c r="G3" s="100"/>
      <c r="H3" s="100"/>
      <c r="I3" s="1"/>
    </row>
    <row r="4" spans="1:9" x14ac:dyDescent="0.25">
      <c r="A4" s="1"/>
      <c r="B4" s="107" t="s">
        <v>44</v>
      </c>
      <c r="C4" s="108"/>
      <c r="D4" s="108"/>
      <c r="E4" s="108"/>
      <c r="F4" s="108"/>
      <c r="G4" s="108"/>
      <c r="H4" s="109"/>
      <c r="I4" s="1"/>
    </row>
    <row r="5" spans="1:9" x14ac:dyDescent="0.25">
      <c r="A5" s="1"/>
      <c r="B5" s="101" t="s">
        <v>36</v>
      </c>
      <c r="C5" s="102"/>
      <c r="D5" s="102"/>
      <c r="E5" s="102"/>
      <c r="F5" s="103"/>
      <c r="G5" s="47">
        <v>32405614.764749568</v>
      </c>
      <c r="H5" s="14" t="s">
        <v>3</v>
      </c>
      <c r="I5" s="1"/>
    </row>
    <row r="6" spans="1:9" x14ac:dyDescent="0.25">
      <c r="A6" s="1"/>
      <c r="B6" s="101" t="s">
        <v>37</v>
      </c>
      <c r="C6" s="102"/>
      <c r="D6" s="102"/>
      <c r="E6" s="102"/>
      <c r="F6" s="103"/>
      <c r="G6" s="22">
        <f>G5*'Fane 13. Nøgletal'!C33</f>
        <v>648112.29529499135</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7" t="s">
        <v>45</v>
      </c>
      <c r="C9" s="108"/>
      <c r="D9" s="108"/>
      <c r="E9" s="108"/>
      <c r="F9" s="108"/>
      <c r="G9" s="108"/>
      <c r="H9" s="109"/>
      <c r="I9" s="1"/>
    </row>
    <row r="10" spans="1:9" x14ac:dyDescent="0.25">
      <c r="A10" s="1"/>
      <c r="B10" s="101" t="s">
        <v>38</v>
      </c>
      <c r="C10" s="102"/>
      <c r="D10" s="102"/>
      <c r="E10" s="102"/>
      <c r="F10" s="103"/>
      <c r="G10" s="22">
        <f>(G5-G6)*(1+'Fane 13. Nøgletal'!C9)</f>
        <v>32160822.750816647</v>
      </c>
      <c r="H10" s="14" t="s">
        <v>3</v>
      </c>
      <c r="I10" s="1"/>
    </row>
    <row r="11" spans="1:9" x14ac:dyDescent="0.25">
      <c r="A11" s="1"/>
      <c r="B11" s="104" t="s">
        <v>228</v>
      </c>
      <c r="C11" s="105"/>
      <c r="D11" s="105"/>
      <c r="E11" s="105"/>
      <c r="F11" s="106"/>
      <c r="G11" s="47">
        <v>0</v>
      </c>
      <c r="H11" s="14" t="s">
        <v>3</v>
      </c>
      <c r="I11" s="1"/>
    </row>
    <row r="12" spans="1:9" x14ac:dyDescent="0.25">
      <c r="A12" s="1"/>
      <c r="B12" s="101" t="s">
        <v>39</v>
      </c>
      <c r="C12" s="102"/>
      <c r="D12" s="102"/>
      <c r="E12" s="102"/>
      <c r="F12" s="103"/>
      <c r="G12" s="22">
        <f>(G10+G11)*'Fane 13. Nøgletal'!C33</f>
        <v>643216.45501633291</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7" t="s">
        <v>46</v>
      </c>
      <c r="C15" s="108"/>
      <c r="D15" s="108"/>
      <c r="E15" s="108"/>
      <c r="F15" s="108"/>
      <c r="G15" s="108"/>
      <c r="H15" s="109"/>
      <c r="I15" s="1"/>
    </row>
    <row r="16" spans="1:9" x14ac:dyDescent="0.25">
      <c r="A16" s="1"/>
      <c r="B16" s="101" t="s">
        <v>40</v>
      </c>
      <c r="C16" s="102"/>
      <c r="D16" s="102"/>
      <c r="E16" s="102"/>
      <c r="F16" s="103"/>
      <c r="G16" s="22">
        <f>(G10+G11-G12)*(1+'Fane 13. Nøgletal'!C11)</f>
        <v>32050253.842199337</v>
      </c>
      <c r="H16" s="14" t="s">
        <v>3</v>
      </c>
      <c r="I16" s="1"/>
    </row>
    <row r="17" spans="1:9" x14ac:dyDescent="0.25">
      <c r="A17" s="1"/>
      <c r="B17" s="101" t="s">
        <v>100</v>
      </c>
      <c r="C17" s="102"/>
      <c r="D17" s="102"/>
      <c r="E17" s="102"/>
      <c r="F17" s="103"/>
      <c r="G17" s="47">
        <v>-779624.71294406755</v>
      </c>
      <c r="H17" s="14" t="s">
        <v>3</v>
      </c>
      <c r="I17" s="1"/>
    </row>
    <row r="18" spans="1:9" x14ac:dyDescent="0.25">
      <c r="A18" s="1"/>
      <c r="B18" s="104" t="s">
        <v>229</v>
      </c>
      <c r="C18" s="105"/>
      <c r="D18" s="105"/>
      <c r="E18" s="105"/>
      <c r="F18" s="106"/>
      <c r="G18" s="47">
        <v>0</v>
      </c>
      <c r="H18" s="14" t="s">
        <v>3</v>
      </c>
      <c r="I18" s="1"/>
    </row>
    <row r="19" spans="1:9" x14ac:dyDescent="0.25">
      <c r="A19" s="1"/>
      <c r="B19" s="101" t="s">
        <v>41</v>
      </c>
      <c r="C19" s="102"/>
      <c r="D19" s="102"/>
      <c r="E19" s="102"/>
      <c r="F19" s="103"/>
      <c r="G19" s="22">
        <f>SUM(G16:G18)*'Fane 13. Nøgletal'!C33</f>
        <v>625412.58258510544</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7" t="s">
        <v>47</v>
      </c>
      <c r="C22" s="108"/>
      <c r="D22" s="108"/>
      <c r="E22" s="108"/>
      <c r="F22" s="108"/>
      <c r="G22" s="108"/>
      <c r="H22" s="109"/>
      <c r="I22" s="1"/>
    </row>
    <row r="23" spans="1:9" x14ac:dyDescent="0.25">
      <c r="A23" s="1"/>
      <c r="B23" s="101" t="s">
        <v>42</v>
      </c>
      <c r="C23" s="102"/>
      <c r="D23" s="102"/>
      <c r="E23" s="102"/>
      <c r="F23" s="103"/>
      <c r="G23" s="22">
        <f>(SUM(G16:G18)-G19)*(1+'Fane 13. Nøgletal'!C11)</f>
        <v>31163120.706308886</v>
      </c>
      <c r="H23" s="14" t="s">
        <v>3</v>
      </c>
      <c r="I23" s="1"/>
    </row>
    <row r="24" spans="1:9" x14ac:dyDescent="0.25">
      <c r="A24" s="1"/>
      <c r="B24" s="104" t="s">
        <v>230</v>
      </c>
      <c r="C24" s="105"/>
      <c r="D24" s="105"/>
      <c r="E24" s="105"/>
      <c r="F24" s="106"/>
      <c r="G24" s="47">
        <v>0</v>
      </c>
      <c r="H24" s="14" t="s">
        <v>3</v>
      </c>
      <c r="I24" s="1"/>
    </row>
    <row r="25" spans="1:9" x14ac:dyDescent="0.25">
      <c r="A25" s="1"/>
      <c r="B25" s="101" t="s">
        <v>43</v>
      </c>
      <c r="C25" s="102"/>
      <c r="D25" s="102"/>
      <c r="E25" s="102"/>
      <c r="F25" s="103"/>
      <c r="G25" s="22">
        <f>(G23+G24)*'Fane 13. Nøgletal'!C33</f>
        <v>623262.41412617778</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7" t="s">
        <v>121</v>
      </c>
      <c r="C28" s="108"/>
      <c r="D28" s="108"/>
      <c r="E28" s="108"/>
      <c r="F28" s="108"/>
      <c r="G28" s="108"/>
      <c r="H28" s="109"/>
      <c r="I28" s="1"/>
    </row>
    <row r="29" spans="1:9" x14ac:dyDescent="0.25">
      <c r="A29" s="1"/>
      <c r="B29" s="101" t="s">
        <v>50</v>
      </c>
      <c r="C29" s="102"/>
      <c r="D29" s="102"/>
      <c r="E29" s="102"/>
      <c r="F29" s="103"/>
      <c r="G29" s="22">
        <f>(G23+G24-G25)*(1+'Fane 13. Nøgletal'!C13)</f>
        <v>30912444.56334734</v>
      </c>
      <c r="H29" s="14" t="s">
        <v>3</v>
      </c>
      <c r="I29" s="1"/>
    </row>
    <row r="30" spans="1:9" x14ac:dyDescent="0.25">
      <c r="A30" s="1"/>
      <c r="B30" s="101" t="s">
        <v>231</v>
      </c>
      <c r="C30" s="102"/>
      <c r="D30" s="102"/>
      <c r="E30" s="102"/>
      <c r="F30" s="103"/>
      <c r="G30" s="47">
        <v>0</v>
      </c>
      <c r="H30" s="14" t="s">
        <v>3</v>
      </c>
      <c r="I30" s="1"/>
    </row>
    <row r="31" spans="1:9" x14ac:dyDescent="0.25">
      <c r="A31" s="1"/>
      <c r="B31" s="101" t="s">
        <v>115</v>
      </c>
      <c r="C31" s="102"/>
      <c r="D31" s="102"/>
      <c r="E31" s="102"/>
      <c r="F31" s="103"/>
      <c r="G31" s="22">
        <f>(G29+G30)*'Fane 13. Nøgletal'!C33</f>
        <v>618248.8912669468</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7" t="s">
        <v>122</v>
      </c>
      <c r="C34" s="108"/>
      <c r="D34" s="108"/>
      <c r="E34" s="108"/>
      <c r="F34" s="108"/>
      <c r="G34" s="108"/>
      <c r="H34" s="109"/>
      <c r="I34" s="1"/>
    </row>
    <row r="35" spans="1:9" x14ac:dyDescent="0.25">
      <c r="A35" s="1"/>
      <c r="B35" s="101" t="s">
        <v>69</v>
      </c>
      <c r="C35" s="102"/>
      <c r="D35" s="102"/>
      <c r="E35" s="102"/>
      <c r="F35" s="103"/>
      <c r="G35" s="22">
        <f>(G29+G30-G31)*(1+'Fane 13. Nøgletal'!C13)</f>
        <v>30663784.859279774</v>
      </c>
      <c r="H35" s="14" t="s">
        <v>3</v>
      </c>
      <c r="I35" s="1"/>
    </row>
    <row r="36" spans="1:9" x14ac:dyDescent="0.25">
      <c r="A36" s="1"/>
      <c r="B36" s="101" t="s">
        <v>232</v>
      </c>
      <c r="C36" s="102"/>
      <c r="D36" s="102"/>
      <c r="E36" s="102"/>
      <c r="F36" s="103"/>
      <c r="G36" s="47">
        <v>65473.998729160012</v>
      </c>
      <c r="H36" s="14" t="s">
        <v>3</v>
      </c>
      <c r="I36" s="1"/>
    </row>
    <row r="37" spans="1:9" x14ac:dyDescent="0.25">
      <c r="A37" s="1"/>
      <c r="B37" s="101" t="s">
        <v>123</v>
      </c>
      <c r="C37" s="102"/>
      <c r="D37" s="102"/>
      <c r="E37" s="102"/>
      <c r="F37" s="103"/>
      <c r="G37" s="22">
        <f>(G35+G36)*'Fane 13. Nøgletal'!C33</f>
        <v>614585.17716017866</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7" t="s">
        <v>157</v>
      </c>
      <c r="C40" s="108"/>
      <c r="D40" s="108"/>
      <c r="E40" s="108"/>
      <c r="F40" s="108"/>
      <c r="G40" s="108"/>
      <c r="H40" s="109"/>
      <c r="I40" s="1"/>
    </row>
    <row r="41" spans="1:9" x14ac:dyDescent="0.25">
      <c r="A41" s="1"/>
      <c r="B41" s="101" t="s">
        <v>68</v>
      </c>
      <c r="C41" s="102"/>
      <c r="D41" s="102"/>
      <c r="E41" s="102"/>
      <c r="F41" s="103"/>
      <c r="G41" s="47">
        <f>(G35+G36-G37)*(1+'Fane 13. Nøgletal'!C15)</f>
        <v>31186756.063886974</v>
      </c>
      <c r="H41" s="14" t="s">
        <v>3</v>
      </c>
      <c r="I41" s="1"/>
    </row>
    <row r="42" spans="1:9" x14ac:dyDescent="0.25">
      <c r="A42" s="1"/>
      <c r="B42" s="101" t="s">
        <v>156</v>
      </c>
      <c r="C42" s="102"/>
      <c r="D42" s="102"/>
      <c r="E42" s="102"/>
      <c r="F42" s="103"/>
      <c r="G42" s="47">
        <v>0</v>
      </c>
      <c r="H42" s="14" t="s">
        <v>3</v>
      </c>
      <c r="I42" s="1"/>
    </row>
    <row r="43" spans="1:9" x14ac:dyDescent="0.25">
      <c r="A43" s="1"/>
      <c r="B43" s="101" t="s">
        <v>166</v>
      </c>
      <c r="C43" s="102"/>
      <c r="D43" s="102"/>
      <c r="E43" s="102"/>
      <c r="F43" s="103"/>
      <c r="G43" s="47">
        <f>(G41+G42)*'Fane 13. Nøgletal'!C33</f>
        <v>623735.12127773953</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7" t="s">
        <v>158</v>
      </c>
      <c r="C46" s="108"/>
      <c r="D46" s="108"/>
      <c r="E46" s="108"/>
      <c r="F46" s="108"/>
      <c r="G46" s="108"/>
      <c r="H46" s="109"/>
      <c r="I46" s="1"/>
    </row>
    <row r="47" spans="1:9" x14ac:dyDescent="0.25">
      <c r="A47" s="1"/>
      <c r="B47" s="101" t="s">
        <v>112</v>
      </c>
      <c r="C47" s="102"/>
      <c r="D47" s="102"/>
      <c r="E47" s="102"/>
      <c r="F47" s="103"/>
      <c r="G47" s="22">
        <f>(G41+G42-G43)*(1+'Fane 13. Nøgletal'!C15)</f>
        <v>31651064.488166127</v>
      </c>
      <c r="H47" s="14" t="s">
        <v>3</v>
      </c>
      <c r="I47" s="1"/>
    </row>
    <row r="48" spans="1:9" x14ac:dyDescent="0.25">
      <c r="A48" s="1"/>
      <c r="B48" s="101" t="s">
        <v>206</v>
      </c>
      <c r="C48" s="102"/>
      <c r="D48" s="102"/>
      <c r="E48" s="102"/>
      <c r="F48" s="103"/>
      <c r="G48" s="22">
        <f>('Fane 2.1. Økonomisk ramme 2024'!C9+'Fane 2.1. Økonomisk ramme 2024'!C11+'Fane 2.1. Økonomisk ramme 2024'!C13)*(1+'Fane 13. Nøgletal'!C16)</f>
        <v>49349.930654080003</v>
      </c>
      <c r="H48" s="14" t="s">
        <v>3</v>
      </c>
      <c r="I48" s="1"/>
    </row>
    <row r="49" spans="1:9" x14ac:dyDescent="0.25">
      <c r="A49" s="1"/>
      <c r="B49" s="101" t="s">
        <v>167</v>
      </c>
      <c r="C49" s="102"/>
      <c r="D49" s="102"/>
      <c r="E49" s="102"/>
      <c r="F49" s="103"/>
      <c r="G49" s="22">
        <f>G47*'Fane 13. Nøgletal'!C33+G48*'Fane 13. Nøgletal'!C33</f>
        <v>634008.28837640421</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7" t="s">
        <v>133</v>
      </c>
      <c r="C52" s="108"/>
      <c r="D52" s="108"/>
      <c r="E52" s="108"/>
      <c r="F52" s="108"/>
      <c r="G52" s="108"/>
      <c r="H52" s="109"/>
      <c r="I52" s="1"/>
    </row>
    <row r="53" spans="1:9" x14ac:dyDescent="0.25">
      <c r="A53" s="1"/>
      <c r="B53" s="101" t="s">
        <v>134</v>
      </c>
      <c r="C53" s="102"/>
      <c r="D53" s="102"/>
      <c r="E53" s="102"/>
      <c r="F53" s="103"/>
      <c r="G53" s="22">
        <f>(G47+G48-G49)*(1+'Fane 13. Nøgletal'!C16)</f>
        <v>33576571.745783657</v>
      </c>
      <c r="H53" s="14" t="s">
        <v>3</v>
      </c>
      <c r="I53" s="1"/>
    </row>
    <row r="54" spans="1:9" x14ac:dyDescent="0.25">
      <c r="A54" s="1"/>
      <c r="B54" s="101" t="s">
        <v>135</v>
      </c>
      <c r="C54" s="102"/>
      <c r="D54" s="102"/>
      <c r="E54" s="102"/>
      <c r="F54" s="103"/>
      <c r="G54" s="22">
        <f>(G53)*'Fane 13. Nøgletal'!C33</f>
        <v>671531.4349156731</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7" t="s">
        <v>144</v>
      </c>
      <c r="C57" s="108"/>
      <c r="D57" s="108"/>
      <c r="E57" s="108"/>
      <c r="F57" s="108"/>
      <c r="G57" s="108"/>
      <c r="H57" s="109"/>
      <c r="I57" s="1"/>
    </row>
    <row r="58" spans="1:9" x14ac:dyDescent="0.25">
      <c r="A58" s="1"/>
      <c r="B58" s="101" t="s">
        <v>145</v>
      </c>
      <c r="C58" s="102"/>
      <c r="D58" s="102"/>
      <c r="E58" s="102"/>
      <c r="F58" s="103"/>
      <c r="G58" s="22">
        <f>(G53-G54)*(1+'Fane 13. Nøgletal'!C16)</f>
        <v>35563767.567986116</v>
      </c>
      <c r="H58" s="14" t="s">
        <v>3</v>
      </c>
      <c r="I58" s="1"/>
    </row>
    <row r="59" spans="1:9" x14ac:dyDescent="0.25">
      <c r="A59" s="1"/>
      <c r="B59" s="101" t="s">
        <v>146</v>
      </c>
      <c r="C59" s="102"/>
      <c r="D59" s="102"/>
      <c r="E59" s="102"/>
      <c r="F59" s="103"/>
      <c r="G59" s="22">
        <f>(G58)*'Fane 13. Nøgletal'!C33</f>
        <v>711275.35135972232</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7" t="s">
        <v>220</v>
      </c>
      <c r="C62" s="108"/>
      <c r="D62" s="108"/>
      <c r="E62" s="108"/>
      <c r="F62" s="108"/>
      <c r="G62" s="108"/>
      <c r="H62" s="109"/>
      <c r="I62" s="1"/>
    </row>
    <row r="63" spans="1:9" x14ac:dyDescent="0.25">
      <c r="A63" s="1"/>
      <c r="B63" s="101" t="s">
        <v>221</v>
      </c>
      <c r="C63" s="102"/>
      <c r="D63" s="102"/>
      <c r="E63" s="102"/>
      <c r="F63" s="103"/>
      <c r="G63" s="22">
        <f>(G58-G59)*(1+'Fane 13. Nøgletal'!C16)</f>
        <v>37668573.587729804</v>
      </c>
      <c r="H63" s="14" t="s">
        <v>3</v>
      </c>
      <c r="I63" s="1"/>
    </row>
    <row r="64" spans="1:9" x14ac:dyDescent="0.25">
      <c r="A64" s="1"/>
      <c r="B64" s="101" t="s">
        <v>222</v>
      </c>
      <c r="C64" s="102"/>
      <c r="D64" s="102"/>
      <c r="E64" s="102"/>
      <c r="F64" s="103"/>
      <c r="G64" s="22">
        <f>(G63)*'Fane 13. Nøgletal'!C33</f>
        <v>753371.4717545961</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k1JyaxZOXL8M3gPKycKk+c2xzSh4Es9z15EperRBboT3y12b8kS+xsm+cY59UwcSIWyqyvgZyqv/r73eqnpvQA==" saltValue="QGp3W9pl/JxUfCUwXqz/Jg==" spinCount="100000" sheet="1" objects="1" scenarios="1"/>
  <mergeCells count="42">
    <mergeCell ref="B62:H62"/>
    <mergeCell ref="B63:F63"/>
    <mergeCell ref="B64:F64"/>
    <mergeCell ref="B59:F59"/>
    <mergeCell ref="B52:H52"/>
    <mergeCell ref="B53:F53"/>
    <mergeCell ref="B54:F54"/>
    <mergeCell ref="B58:F58"/>
    <mergeCell ref="B37:F37"/>
    <mergeCell ref="B46:H46"/>
    <mergeCell ref="B48:F48"/>
    <mergeCell ref="B36:F36"/>
    <mergeCell ref="B57:H57"/>
    <mergeCell ref="B47:F47"/>
    <mergeCell ref="B49:F49"/>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0" t="s">
        <v>91</v>
      </c>
      <c r="C1" s="111"/>
      <c r="D1" s="111"/>
      <c r="E1" s="111"/>
      <c r="F1" s="111"/>
      <c r="G1" s="111"/>
      <c r="H1" s="111"/>
      <c r="I1" s="1"/>
    </row>
    <row r="2" spans="1:9" ht="19.899999999999999" customHeight="1" x14ac:dyDescent="0.25">
      <c r="A2" s="1"/>
      <c r="B2" s="111"/>
      <c r="C2" s="111"/>
      <c r="D2" s="111"/>
      <c r="E2" s="111"/>
      <c r="F2" s="111"/>
      <c r="G2" s="111"/>
      <c r="H2" s="111"/>
      <c r="I2" s="1"/>
    </row>
    <row r="3" spans="1:9" ht="15" customHeight="1" x14ac:dyDescent="0.25">
      <c r="A3" s="1"/>
      <c r="B3" s="112"/>
      <c r="C3" s="112"/>
      <c r="D3" s="112"/>
      <c r="E3" s="112"/>
      <c r="F3" s="112"/>
      <c r="G3" s="112"/>
      <c r="H3" s="112"/>
      <c r="I3" s="1"/>
    </row>
    <row r="4" spans="1:9" x14ac:dyDescent="0.25">
      <c r="A4" s="1"/>
      <c r="B4" s="107" t="s">
        <v>48</v>
      </c>
      <c r="C4" s="108"/>
      <c r="D4" s="108"/>
      <c r="E4" s="108"/>
      <c r="F4" s="108"/>
      <c r="G4" s="108"/>
      <c r="H4" s="109"/>
      <c r="I4" s="1"/>
    </row>
    <row r="5" spans="1:9" x14ac:dyDescent="0.25">
      <c r="A5" s="1"/>
      <c r="B5" s="101" t="s">
        <v>51</v>
      </c>
      <c r="C5" s="102"/>
      <c r="D5" s="102"/>
      <c r="E5" s="102"/>
      <c r="F5" s="103"/>
      <c r="G5" s="47">
        <v>8836157.4291399065</v>
      </c>
      <c r="H5" s="14" t="s">
        <v>3</v>
      </c>
      <c r="I5" s="1"/>
    </row>
    <row r="6" spans="1:9" x14ac:dyDescent="0.25">
      <c r="A6" s="1"/>
      <c r="B6" s="101" t="s">
        <v>49</v>
      </c>
      <c r="C6" s="102"/>
      <c r="D6" s="102"/>
      <c r="E6" s="102"/>
      <c r="F6" s="103"/>
      <c r="G6" s="22">
        <f>G5*'Fane 13. Nøgletal'!C21</f>
        <v>80409.032605173154</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7" t="s">
        <v>52</v>
      </c>
      <c r="C9" s="108"/>
      <c r="D9" s="108"/>
      <c r="E9" s="108"/>
      <c r="F9" s="108"/>
      <c r="G9" s="108"/>
      <c r="H9" s="109"/>
      <c r="I9" s="1"/>
    </row>
    <row r="10" spans="1:9" x14ac:dyDescent="0.25">
      <c r="A10" s="1"/>
      <c r="B10" s="101" t="s">
        <v>53</v>
      </c>
      <c r="C10" s="102"/>
      <c r="D10" s="102"/>
      <c r="E10" s="102"/>
      <c r="F10" s="103"/>
      <c r="G10" s="22">
        <f>(G5-G6)*(1+'Fane 13. Nøgletal'!C9)</f>
        <v>8866946.4011707231</v>
      </c>
      <c r="H10" s="14" t="s">
        <v>3</v>
      </c>
      <c r="I10" s="1"/>
    </row>
    <row r="11" spans="1:9" x14ac:dyDescent="0.25">
      <c r="A11" s="1"/>
      <c r="B11" s="104" t="s">
        <v>54</v>
      </c>
      <c r="C11" s="105"/>
      <c r="D11" s="105"/>
      <c r="E11" s="105"/>
      <c r="F11" s="106"/>
      <c r="G11" s="48">
        <v>0</v>
      </c>
      <c r="H11" s="14" t="s">
        <v>3</v>
      </c>
      <c r="I11" s="1"/>
    </row>
    <row r="12" spans="1:9" x14ac:dyDescent="0.25">
      <c r="A12" s="1"/>
      <c r="B12" s="101" t="s">
        <v>55</v>
      </c>
      <c r="C12" s="102"/>
      <c r="D12" s="102"/>
      <c r="E12" s="102"/>
      <c r="F12" s="103"/>
      <c r="G12" s="22">
        <f>G10*'Fane 13. Nøgletal'!C21+G11*'Fane 13. Nøgletal'!C22</f>
        <v>80689.212250653582</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7" t="s">
        <v>56</v>
      </c>
      <c r="C15" s="108"/>
      <c r="D15" s="108"/>
      <c r="E15" s="108"/>
      <c r="F15" s="108"/>
      <c r="G15" s="108"/>
      <c r="H15" s="109"/>
      <c r="I15" s="1"/>
    </row>
    <row r="16" spans="1:9" x14ac:dyDescent="0.25">
      <c r="A16" s="1"/>
      <c r="B16" s="101" t="s">
        <v>57</v>
      </c>
      <c r="C16" s="102"/>
      <c r="D16" s="102"/>
      <c r="E16" s="102"/>
      <c r="F16" s="103"/>
      <c r="G16" s="22">
        <f>(G10+G11-G12)*(1+'Fane 13. Nøgletal'!C11)</f>
        <v>8934744.9354128186</v>
      </c>
      <c r="H16" s="14" t="s">
        <v>3</v>
      </c>
      <c r="I16" s="1"/>
    </row>
    <row r="17" spans="1:9" x14ac:dyDescent="0.25">
      <c r="A17" s="1"/>
      <c r="B17" s="101" t="s">
        <v>101</v>
      </c>
      <c r="C17" s="102"/>
      <c r="D17" s="102"/>
      <c r="E17" s="102"/>
      <c r="F17" s="103"/>
      <c r="G17" s="47">
        <v>-7419.09358681707</v>
      </c>
      <c r="H17" s="14" t="s">
        <v>3</v>
      </c>
      <c r="I17" s="1"/>
    </row>
    <row r="18" spans="1:9" x14ac:dyDescent="0.25">
      <c r="A18" s="1"/>
      <c r="B18" s="104" t="s">
        <v>58</v>
      </c>
      <c r="C18" s="105"/>
      <c r="D18" s="105"/>
      <c r="E18" s="105"/>
      <c r="F18" s="106"/>
      <c r="G18" s="47">
        <v>3567507.457223149</v>
      </c>
      <c r="H18" s="14" t="s">
        <v>3</v>
      </c>
      <c r="I18" s="1"/>
    </row>
    <row r="19" spans="1:9" x14ac:dyDescent="0.25">
      <c r="A19" s="1"/>
      <c r="B19" s="101" t="s">
        <v>59</v>
      </c>
      <c r="C19" s="102"/>
      <c r="D19" s="102"/>
      <c r="E19" s="102"/>
      <c r="F19" s="103"/>
      <c r="G19" s="22">
        <f>(G16+G17+G18)*'Fane 13. Nøgletal'!C23</f>
        <v>108705.04970172759</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7" t="s">
        <v>60</v>
      </c>
      <c r="C22" s="108"/>
      <c r="D22" s="108"/>
      <c r="E22" s="108"/>
      <c r="F22" s="108"/>
      <c r="G22" s="108"/>
      <c r="H22" s="109"/>
      <c r="I22" s="1"/>
    </row>
    <row r="23" spans="1:9" x14ac:dyDescent="0.25">
      <c r="A23" s="1"/>
      <c r="B23" s="101" t="s">
        <v>61</v>
      </c>
      <c r="C23" s="102"/>
      <c r="D23" s="102"/>
      <c r="E23" s="102"/>
      <c r="F23" s="103"/>
      <c r="G23" s="22">
        <f>(SUM(G16:G18)-G19)*(1+'Fane 13. Nøgletal'!C11)</f>
        <v>12595453.816761393</v>
      </c>
      <c r="H23" s="14" t="s">
        <v>3</v>
      </c>
      <c r="I23" s="1"/>
    </row>
    <row r="24" spans="1:9" x14ac:dyDescent="0.25">
      <c r="A24" s="1"/>
      <c r="B24" s="104" t="s">
        <v>62</v>
      </c>
      <c r="C24" s="105"/>
      <c r="D24" s="105"/>
      <c r="E24" s="105"/>
      <c r="F24" s="106"/>
      <c r="G24" s="47">
        <v>1388883.0749154689</v>
      </c>
      <c r="H24" s="14" t="s">
        <v>3</v>
      </c>
      <c r="I24" s="1"/>
    </row>
    <row r="25" spans="1:9" x14ac:dyDescent="0.25">
      <c r="A25" s="1"/>
      <c r="B25" s="101" t="s">
        <v>63</v>
      </c>
      <c r="C25" s="102"/>
      <c r="D25" s="102"/>
      <c r="E25" s="102"/>
      <c r="F25" s="103"/>
      <c r="G25" s="22">
        <f>G23*'Fane 13. Nøgletal'!C23+G24*'Fane 13. Nøgletal'!C24</f>
        <v>149024.72753342343</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7" t="s">
        <v>119</v>
      </c>
      <c r="C28" s="108"/>
      <c r="D28" s="108"/>
      <c r="E28" s="108"/>
      <c r="F28" s="108"/>
      <c r="G28" s="108"/>
      <c r="H28" s="109"/>
      <c r="I28" s="1"/>
    </row>
    <row r="29" spans="1:9" x14ac:dyDescent="0.25">
      <c r="A29" s="1"/>
      <c r="B29" s="101" t="s">
        <v>64</v>
      </c>
      <c r="C29" s="102"/>
      <c r="D29" s="102"/>
      <c r="E29" s="102"/>
      <c r="F29" s="103"/>
      <c r="G29" s="22">
        <f>(G23+G24-G25)*(1+'Fane 13. Nøgletal'!C13)</f>
        <v>14004102.972545987</v>
      </c>
      <c r="H29" s="14" t="s">
        <v>3</v>
      </c>
      <c r="I29" s="1"/>
    </row>
    <row r="30" spans="1:9" x14ac:dyDescent="0.25">
      <c r="A30" s="1"/>
      <c r="B30" s="101" t="s">
        <v>113</v>
      </c>
      <c r="C30" s="102"/>
      <c r="D30" s="102"/>
      <c r="E30" s="102"/>
      <c r="F30" s="103"/>
      <c r="G30" s="47">
        <v>1488034.2442392001</v>
      </c>
      <c r="H30" s="14" t="s">
        <v>3</v>
      </c>
      <c r="I30" s="1"/>
    </row>
    <row r="31" spans="1:9" x14ac:dyDescent="0.25">
      <c r="A31" s="1"/>
      <c r="B31" s="101" t="s">
        <v>120</v>
      </c>
      <c r="C31" s="102"/>
      <c r="D31" s="102"/>
      <c r="E31" s="102"/>
      <c r="F31" s="103"/>
      <c r="G31" s="22">
        <f>(G29+G30)*'Fane 13. Nøgletal'!C25</f>
        <v>426033.77346159262</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7" t="s">
        <v>124</v>
      </c>
      <c r="C34" s="108"/>
      <c r="D34" s="108"/>
      <c r="E34" s="108"/>
      <c r="F34" s="108"/>
      <c r="G34" s="108"/>
      <c r="H34" s="109"/>
      <c r="I34" s="1"/>
    </row>
    <row r="35" spans="1:9" x14ac:dyDescent="0.25">
      <c r="A35" s="1"/>
      <c r="B35" s="101" t="s">
        <v>67</v>
      </c>
      <c r="C35" s="102"/>
      <c r="D35" s="102"/>
      <c r="E35" s="102"/>
      <c r="F35" s="103"/>
      <c r="G35" s="22">
        <f>(G29+G30-G31)*(1+'Fane 13. Nøgletal'!C13)</f>
        <v>15249909.905332141</v>
      </c>
      <c r="H35" s="14" t="s">
        <v>3</v>
      </c>
      <c r="I35" s="1"/>
    </row>
    <row r="36" spans="1:9" x14ac:dyDescent="0.25">
      <c r="A36" s="1"/>
      <c r="B36" s="101" t="s">
        <v>129</v>
      </c>
      <c r="C36" s="102"/>
      <c r="D36" s="102"/>
      <c r="E36" s="102"/>
      <c r="F36" s="103"/>
      <c r="G36" s="47">
        <v>449712.47460551007</v>
      </c>
      <c r="H36" s="14" t="s">
        <v>3</v>
      </c>
      <c r="I36" s="1"/>
    </row>
    <row r="37" spans="1:9" x14ac:dyDescent="0.25">
      <c r="A37" s="1"/>
      <c r="B37" s="101" t="s">
        <v>125</v>
      </c>
      <c r="C37" s="102"/>
      <c r="D37" s="102"/>
      <c r="E37" s="102"/>
      <c r="F37" s="103"/>
      <c r="G37" s="22">
        <f>G35*'Fane 13. Nøgletal'!C25+G36*'Fane 13. Nøgletal'!C26</f>
        <v>426028.26702079544</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7" t="s">
        <v>159</v>
      </c>
      <c r="C40" s="108"/>
      <c r="D40" s="108"/>
      <c r="E40" s="108"/>
      <c r="F40" s="108"/>
      <c r="G40" s="108"/>
      <c r="H40" s="109"/>
      <c r="I40" s="1"/>
    </row>
    <row r="41" spans="1:9" x14ac:dyDescent="0.25">
      <c r="A41" s="1"/>
      <c r="B41" s="101" t="s">
        <v>66</v>
      </c>
      <c r="C41" s="102"/>
      <c r="D41" s="102"/>
      <c r="E41" s="102"/>
      <c r="F41" s="103"/>
      <c r="G41" s="47">
        <f>(G35+G36-G37)*(1+'Fane 13. Nøgletal'!C15)</f>
        <v>15817334.063336696</v>
      </c>
      <c r="H41" s="14" t="s">
        <v>3</v>
      </c>
      <c r="I41" s="1"/>
    </row>
    <row r="42" spans="1:9" x14ac:dyDescent="0.25">
      <c r="A42" s="1"/>
      <c r="B42" s="101" t="s">
        <v>169</v>
      </c>
      <c r="C42" s="102"/>
      <c r="D42" s="102"/>
      <c r="E42" s="102"/>
      <c r="F42" s="103"/>
      <c r="G42" s="47">
        <v>846479.18283552013</v>
      </c>
      <c r="H42" s="14" t="s">
        <v>3</v>
      </c>
      <c r="I42" s="1"/>
    </row>
    <row r="43" spans="1:9" x14ac:dyDescent="0.25">
      <c r="A43" s="1"/>
      <c r="B43" s="101" t="s">
        <v>65</v>
      </c>
      <c r="C43" s="102"/>
      <c r="D43" s="102"/>
      <c r="E43" s="102"/>
      <c r="F43" s="103"/>
      <c r="G43" s="47">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7" t="s">
        <v>160</v>
      </c>
      <c r="C46" s="108"/>
      <c r="D46" s="108"/>
      <c r="E46" s="108"/>
      <c r="F46" s="108"/>
      <c r="G46" s="108"/>
      <c r="H46" s="109"/>
      <c r="I46" s="1"/>
    </row>
    <row r="47" spans="1:9" x14ac:dyDescent="0.25">
      <c r="A47" s="1"/>
      <c r="B47" s="101" t="s">
        <v>114</v>
      </c>
      <c r="C47" s="102"/>
      <c r="D47" s="102"/>
      <c r="E47" s="102"/>
      <c r="F47" s="103"/>
      <c r="G47" s="47">
        <f>(G41+G42-G43)*(1+'Fane 13. Nøgletal'!C15)</f>
        <v>17257044.997735947</v>
      </c>
      <c r="H47" s="14" t="s">
        <v>3</v>
      </c>
      <c r="I47" s="1"/>
    </row>
    <row r="48" spans="1:9" x14ac:dyDescent="0.25">
      <c r="A48" s="1"/>
      <c r="B48" s="101" t="s">
        <v>210</v>
      </c>
      <c r="C48" s="102"/>
      <c r="D48" s="102"/>
      <c r="E48" s="102"/>
      <c r="F48" s="103"/>
      <c r="G48" s="47">
        <f>('Fane 2.1. Økonomisk ramme 2024'!C10+'Fane 2.1. Økonomisk ramme 2024'!C12+'Fane 2.1. Økonomisk ramme 2024'!C14)*(1+'Fane 13. Nøgletal'!C16)</f>
        <v>20515433.29116736</v>
      </c>
      <c r="H48" s="14" t="s">
        <v>3</v>
      </c>
      <c r="I48" s="1"/>
    </row>
    <row r="49" spans="1:9" x14ac:dyDescent="0.25">
      <c r="A49" s="1"/>
      <c r="B49" s="101" t="s">
        <v>211</v>
      </c>
      <c r="C49" s="102"/>
      <c r="D49" s="102"/>
      <c r="E49" s="102"/>
      <c r="F49" s="103"/>
      <c r="G49" s="47">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7" t="s">
        <v>130</v>
      </c>
      <c r="C52" s="108"/>
      <c r="D52" s="108"/>
      <c r="E52" s="108"/>
      <c r="F52" s="108"/>
      <c r="G52" s="108"/>
      <c r="H52" s="109"/>
      <c r="I52" s="1"/>
    </row>
    <row r="53" spans="1:9" x14ac:dyDescent="0.25">
      <c r="A53" s="1"/>
      <c r="B53" s="101" t="s">
        <v>131</v>
      </c>
      <c r="C53" s="102"/>
      <c r="D53" s="102"/>
      <c r="E53" s="102"/>
      <c r="F53" s="103"/>
      <c r="G53" s="47">
        <f>(G47+G48-G49)*(1+'Fane 13. Nøgletal'!C16)</f>
        <v>40824494.534646697</v>
      </c>
      <c r="H53" s="14" t="s">
        <v>3</v>
      </c>
      <c r="I53" s="1"/>
    </row>
    <row r="54" spans="1:9" x14ac:dyDescent="0.25">
      <c r="A54" s="1"/>
      <c r="B54" s="101" t="s">
        <v>132</v>
      </c>
      <c r="C54" s="102"/>
      <c r="D54" s="102"/>
      <c r="E54" s="102"/>
      <c r="F54" s="103"/>
      <c r="G54" s="47">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7" t="s">
        <v>147</v>
      </c>
      <c r="C57" s="108"/>
      <c r="D57" s="108"/>
      <c r="E57" s="108"/>
      <c r="F57" s="108"/>
      <c r="G57" s="108"/>
      <c r="H57" s="109"/>
      <c r="I57" s="1"/>
    </row>
    <row r="58" spans="1:9" x14ac:dyDescent="0.25">
      <c r="A58" s="1"/>
      <c r="B58" s="101" t="s">
        <v>148</v>
      </c>
      <c r="C58" s="102"/>
      <c r="D58" s="102"/>
      <c r="E58" s="102"/>
      <c r="F58" s="103"/>
      <c r="G58" s="47">
        <f>(G53-G54)*(1+'Fane 13. Nøgletal'!C16)</f>
        <v>44123113.693046153</v>
      </c>
      <c r="H58" s="14" t="s">
        <v>3</v>
      </c>
      <c r="I58" s="1"/>
    </row>
    <row r="59" spans="1:9" x14ac:dyDescent="0.25">
      <c r="A59" s="1"/>
      <c r="B59" s="101" t="s">
        <v>149</v>
      </c>
      <c r="C59" s="102"/>
      <c r="D59" s="102"/>
      <c r="E59" s="102"/>
      <c r="F59" s="103"/>
      <c r="G59" s="47">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7" t="s">
        <v>223</v>
      </c>
      <c r="C62" s="108"/>
      <c r="D62" s="108"/>
      <c r="E62" s="108"/>
      <c r="F62" s="108"/>
      <c r="G62" s="108"/>
      <c r="H62" s="109"/>
      <c r="I62" s="1"/>
    </row>
    <row r="63" spans="1:9" x14ac:dyDescent="0.25">
      <c r="A63" s="1"/>
      <c r="B63" s="101" t="s">
        <v>224</v>
      </c>
      <c r="C63" s="102"/>
      <c r="D63" s="102"/>
      <c r="E63" s="102"/>
      <c r="F63" s="103"/>
      <c r="G63" s="47">
        <f>(G58-G59)*(1+'Fane 13. Nøgletal'!C16)</f>
        <v>47688261.279444277</v>
      </c>
      <c r="H63" s="14" t="s">
        <v>3</v>
      </c>
      <c r="I63" s="1"/>
    </row>
    <row r="64" spans="1:9" x14ac:dyDescent="0.25">
      <c r="A64" s="1"/>
      <c r="B64" s="101" t="s">
        <v>225</v>
      </c>
      <c r="C64" s="102"/>
      <c r="D64" s="102"/>
      <c r="E64" s="102"/>
      <c r="F64" s="103"/>
      <c r="G64" s="47">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3bhm1Qu5wt0TZRjdIUT6RltY5IL0L3EimNVlaBFaxsxxNNDF5VeLktSUwxOzcktkvJoDEeHKN7waRGgYaSNxqA==" saltValue="uphdwbgQfxSX+1EbGF9JQg==" spinCount="100000" sheet="1" objects="1" scenarios="1"/>
  <mergeCells count="42">
    <mergeCell ref="B62:H62"/>
    <mergeCell ref="B63:F63"/>
    <mergeCell ref="B64:F64"/>
    <mergeCell ref="B57:H57"/>
    <mergeCell ref="B58:F58"/>
    <mergeCell ref="B59:F59"/>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9:F49"/>
    <mergeCell ref="B36:F36"/>
    <mergeCell ref="B42:F42"/>
    <mergeCell ref="B41:F41"/>
    <mergeCell ref="B40:H40"/>
    <mergeCell ref="B37:F37"/>
    <mergeCell ref="B46:H46"/>
    <mergeCell ref="B48:F48"/>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7" t="s">
        <v>77</v>
      </c>
      <c r="C3" s="97"/>
      <c r="D3" s="97"/>
      <c r="E3" s="97"/>
      <c r="F3" s="97"/>
      <c r="G3" s="97"/>
      <c r="H3" s="1"/>
    </row>
    <row r="4" spans="1:8" ht="15" customHeight="1" x14ac:dyDescent="0.25">
      <c r="A4" s="1"/>
      <c r="B4" s="97"/>
      <c r="C4" s="97"/>
      <c r="D4" s="97"/>
      <c r="E4" s="97"/>
      <c r="F4" s="97"/>
      <c r="G4" s="9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7" t="s">
        <v>9</v>
      </c>
      <c r="C8" s="108"/>
      <c r="D8" s="108"/>
      <c r="E8" s="108"/>
      <c r="F8" s="108"/>
      <c r="G8" s="109"/>
      <c r="H8" s="1"/>
    </row>
    <row r="9" spans="1:8" x14ac:dyDescent="0.25">
      <c r="A9" s="1"/>
      <c r="B9" s="68" t="s">
        <v>150</v>
      </c>
      <c r="C9" s="69"/>
      <c r="D9" s="69"/>
      <c r="E9" s="69"/>
      <c r="F9" s="70"/>
      <c r="G9" s="51">
        <v>0</v>
      </c>
      <c r="H9" s="1"/>
    </row>
    <row r="10" spans="1:8" x14ac:dyDescent="0.25">
      <c r="A10" s="1"/>
      <c r="B10" s="52"/>
      <c r="C10" s="53"/>
      <c r="D10" s="53"/>
      <c r="E10" s="53"/>
      <c r="F10" s="53"/>
      <c r="G10" s="19"/>
      <c r="H10" s="1"/>
    </row>
    <row r="11" spans="1:8" ht="15" customHeight="1" x14ac:dyDescent="0.25">
      <c r="A11" s="1"/>
      <c r="B11" s="113" t="s">
        <v>236</v>
      </c>
      <c r="C11" s="114"/>
      <c r="D11" s="114"/>
      <c r="E11" s="114"/>
      <c r="F11" s="114"/>
      <c r="G11" s="115"/>
      <c r="H11" s="1"/>
    </row>
    <row r="12" spans="1:8" ht="13.5" customHeight="1" x14ac:dyDescent="0.25">
      <c r="A12" s="1"/>
      <c r="B12" s="116"/>
      <c r="C12" s="117"/>
      <c r="D12" s="117"/>
      <c r="E12" s="117"/>
      <c r="F12" s="117"/>
      <c r="G12" s="11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MSgCZKpQVGEigf9zDQnYpggQiWX5S7rGtqTgX8fa5CF5fjr7hcU2/J2k1Jqj9Wp0aDh6s5iOXCh0u/PrzmCZxg==" saltValue="8dSzGP1JPl8V04Jz4EsdBQ=="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7" t="s">
        <v>92</v>
      </c>
      <c r="C3" s="97"/>
      <c r="D3" s="97"/>
      <c r="E3" s="1"/>
      <c r="F3" s="1"/>
    </row>
    <row r="4" spans="1:6" ht="15" customHeight="1" x14ac:dyDescent="0.25">
      <c r="A4" s="1"/>
      <c r="B4" s="97"/>
      <c r="C4" s="97"/>
      <c r="D4" s="9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7" t="s">
        <v>226</v>
      </c>
      <c r="C8" s="108"/>
      <c r="D8" s="109"/>
      <c r="E8" s="1"/>
      <c r="F8" s="1"/>
    </row>
    <row r="9" spans="1:6" ht="15" customHeight="1" x14ac:dyDescent="0.25">
      <c r="A9" s="1"/>
      <c r="B9" s="32" t="s">
        <v>28</v>
      </c>
      <c r="C9" s="11" t="s">
        <v>212</v>
      </c>
      <c r="D9" s="11"/>
      <c r="E9" s="1"/>
      <c r="F9" s="1"/>
    </row>
    <row r="10" spans="1:6" ht="15" customHeight="1" x14ac:dyDescent="0.25">
      <c r="A10" s="1"/>
      <c r="B10" s="71" t="s">
        <v>243</v>
      </c>
      <c r="C10" s="9">
        <v>31061986</v>
      </c>
      <c r="D10" s="14" t="s">
        <v>3</v>
      </c>
      <c r="E10" s="1"/>
      <c r="F10" s="1"/>
    </row>
    <row r="11" spans="1:6" x14ac:dyDescent="0.25">
      <c r="A11" s="1"/>
      <c r="B11" s="71" t="s">
        <v>244</v>
      </c>
      <c r="C11" s="9">
        <v>178866</v>
      </c>
      <c r="D11" s="14" t="s">
        <v>3</v>
      </c>
      <c r="E11" s="1"/>
      <c r="F11" s="1"/>
    </row>
    <row r="12" spans="1:6" ht="26.25" x14ac:dyDescent="0.25">
      <c r="A12" s="1"/>
      <c r="B12" s="55" t="s">
        <v>245</v>
      </c>
      <c r="C12" s="9">
        <v>10579344</v>
      </c>
      <c r="D12" s="14" t="s">
        <v>3</v>
      </c>
      <c r="E12" s="1"/>
      <c r="F12" s="1"/>
    </row>
    <row r="13" spans="1:6" x14ac:dyDescent="0.25">
      <c r="A13" s="1"/>
      <c r="B13" s="71" t="s">
        <v>246</v>
      </c>
      <c r="C13" s="9">
        <v>548348</v>
      </c>
      <c r="D13" s="14" t="s">
        <v>3</v>
      </c>
      <c r="E13" s="1"/>
      <c r="F13" s="1"/>
    </row>
    <row r="14" spans="1:6" x14ac:dyDescent="0.25">
      <c r="A14" s="1"/>
      <c r="B14" s="71" t="s">
        <v>247</v>
      </c>
      <c r="C14" s="9">
        <v>117746</v>
      </c>
      <c r="D14" s="14" t="s">
        <v>3</v>
      </c>
      <c r="E14" s="1"/>
      <c r="F14" s="1"/>
    </row>
    <row r="15" spans="1:6" x14ac:dyDescent="0.25">
      <c r="A15" s="1"/>
      <c r="B15" s="71"/>
      <c r="C15" s="9"/>
      <c r="D15" s="14" t="s">
        <v>3</v>
      </c>
      <c r="E15" s="1"/>
      <c r="F15" s="1"/>
    </row>
    <row r="16" spans="1:6" x14ac:dyDescent="0.25">
      <c r="A16" s="1"/>
      <c r="B16" s="71"/>
      <c r="C16" s="9"/>
      <c r="D16" s="14" t="s">
        <v>3</v>
      </c>
      <c r="E16" s="1"/>
      <c r="F16" s="1"/>
    </row>
    <row r="17" spans="1:6" x14ac:dyDescent="0.25">
      <c r="A17" s="1"/>
      <c r="B17" s="71"/>
      <c r="C17" s="9"/>
      <c r="D17" s="14" t="s">
        <v>3</v>
      </c>
      <c r="E17" s="1"/>
      <c r="F17" s="1"/>
    </row>
    <row r="18" spans="1:6" x14ac:dyDescent="0.25">
      <c r="A18" s="1"/>
      <c r="B18" s="71"/>
      <c r="C18" s="9"/>
      <c r="D18" s="14" t="s">
        <v>3</v>
      </c>
      <c r="E18" s="1"/>
      <c r="F18" s="1"/>
    </row>
    <row r="19" spans="1:6" x14ac:dyDescent="0.25">
      <c r="A19" s="1"/>
      <c r="B19" s="52" t="s">
        <v>213</v>
      </c>
      <c r="C19" s="12">
        <f>SUM(C10:C18)</f>
        <v>42486290</v>
      </c>
      <c r="D19" s="13" t="s">
        <v>3</v>
      </c>
      <c r="E19" s="1"/>
      <c r="F19" s="1"/>
    </row>
    <row r="20" spans="1:6" x14ac:dyDescent="0.25">
      <c r="A20" s="1"/>
      <c r="B20" s="52" t="s">
        <v>214</v>
      </c>
      <c r="C20" s="12">
        <f>C19*(1+'Fane 13. Nøgletal'!C16)^2</f>
        <v>49629452.156345598</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4"/>
      <c r="B50" s="44"/>
      <c r="C50" s="44"/>
      <c r="D50" s="44"/>
      <c r="E50" s="44"/>
      <c r="F50" s="44"/>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sheetData>
  <sheetProtection algorithmName="SHA-512" hashValue="mIwJxWg1oYAzh9VSkdB5vN3R8bt60CKMr4LWIeFsAxXeyP8eiMulogqJieOc3f3xpsKY13Ry758Ux2870cvmPQ==" saltValue="IXQacYhLQMrwpqCGTxPVn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86D8-CB78-4B53-8742-F721346F0096}">
  <dimension ref="A1:G45"/>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0" t="s">
        <v>227</v>
      </c>
      <c r="C3" s="100"/>
      <c r="D3" s="100"/>
      <c r="E3" s="100"/>
      <c r="F3" s="100"/>
      <c r="G3" s="1"/>
    </row>
    <row r="4" spans="1:7" ht="15" customHeight="1" x14ac:dyDescent="0.25">
      <c r="A4" s="1"/>
      <c r="B4" s="100"/>
      <c r="C4" s="100"/>
      <c r="D4" s="100"/>
      <c r="E4" s="100"/>
      <c r="F4" s="100"/>
      <c r="G4" s="1"/>
    </row>
    <row r="5" spans="1:7" ht="15" customHeight="1" x14ac:dyDescent="0.25">
      <c r="A5" s="1"/>
      <c r="B5" s="64"/>
      <c r="C5" s="64"/>
      <c r="D5" s="64"/>
      <c r="E5" s="64"/>
      <c r="F5" s="64"/>
      <c r="G5" s="1"/>
    </row>
    <row r="6" spans="1:7" ht="15" customHeight="1" x14ac:dyDescent="0.25">
      <c r="A6" s="1"/>
      <c r="B6" s="1"/>
      <c r="C6" s="59"/>
      <c r="D6" s="60"/>
      <c r="E6" s="64"/>
      <c r="F6" s="64"/>
      <c r="G6" s="1"/>
    </row>
    <row r="7" spans="1:7" x14ac:dyDescent="0.25">
      <c r="A7" s="1"/>
      <c r="B7" s="1"/>
      <c r="C7" s="1"/>
      <c r="D7" s="1"/>
      <c r="E7" s="61"/>
      <c r="F7" s="1"/>
      <c r="G7" s="1"/>
    </row>
    <row r="8" spans="1:7" x14ac:dyDescent="0.25">
      <c r="A8" s="1"/>
      <c r="B8" s="107" t="s">
        <v>248</v>
      </c>
      <c r="C8" s="108"/>
      <c r="D8" s="108"/>
      <c r="E8" s="108"/>
      <c r="F8" s="109"/>
      <c r="G8" s="1"/>
    </row>
    <row r="9" spans="1:7" x14ac:dyDescent="0.25">
      <c r="A9" s="1"/>
      <c r="B9" s="101" t="s">
        <v>249</v>
      </c>
      <c r="C9" s="102"/>
      <c r="D9" s="103"/>
      <c r="E9" s="28">
        <v>1781712</v>
      </c>
      <c r="F9" s="14" t="s">
        <v>3</v>
      </c>
      <c r="G9" s="1"/>
    </row>
    <row r="10" spans="1:7" x14ac:dyDescent="0.25">
      <c r="A10" s="1"/>
      <c r="B10" s="52"/>
      <c r="C10" s="53"/>
      <c r="D10" s="53"/>
      <c r="E10" s="53"/>
      <c r="F10" s="19"/>
      <c r="G10" s="1"/>
    </row>
    <row r="11" spans="1:7" ht="53.25" customHeight="1" x14ac:dyDescent="0.25">
      <c r="A11" s="1"/>
      <c r="B11" s="119" t="s">
        <v>250</v>
      </c>
      <c r="C11" s="120"/>
      <c r="D11" s="120"/>
      <c r="E11" s="120"/>
      <c r="F11" s="121"/>
      <c r="G11" s="1"/>
    </row>
    <row r="12" spans="1:7" x14ac:dyDescent="0.25">
      <c r="A12" s="1"/>
      <c r="B12" s="1"/>
      <c r="C12" s="1"/>
      <c r="D12" s="1"/>
      <c r="E12" s="1"/>
      <c r="F12" s="1"/>
      <c r="G12" s="1"/>
    </row>
    <row r="13" spans="1:7" x14ac:dyDescent="0.25">
      <c r="A13" s="1"/>
      <c r="B13" s="107" t="s">
        <v>140</v>
      </c>
      <c r="C13" s="108"/>
      <c r="D13" s="108"/>
      <c r="E13" s="108"/>
      <c r="F13" s="109"/>
      <c r="G13" s="1"/>
    </row>
    <row r="14" spans="1:7" x14ac:dyDescent="0.25">
      <c r="A14" s="1"/>
      <c r="B14" s="101" t="s">
        <v>251</v>
      </c>
      <c r="C14" s="102"/>
      <c r="D14" s="103"/>
      <c r="E14" s="9">
        <v>0</v>
      </c>
      <c r="F14" s="14" t="s">
        <v>3</v>
      </c>
      <c r="G14" s="1"/>
    </row>
    <row r="15" spans="1:7" x14ac:dyDescent="0.25">
      <c r="A15" s="1"/>
      <c r="B15" s="101" t="s">
        <v>252</v>
      </c>
      <c r="C15" s="102"/>
      <c r="D15" s="103"/>
      <c r="E15" s="9">
        <v>0</v>
      </c>
      <c r="F15" s="14" t="s">
        <v>3</v>
      </c>
      <c r="G15" s="1"/>
    </row>
    <row r="16" spans="1:7" x14ac:dyDescent="0.25">
      <c r="A16" s="1"/>
      <c r="B16" s="52"/>
      <c r="C16" s="53"/>
      <c r="D16" s="53"/>
      <c r="E16" s="53"/>
      <c r="F16" s="19"/>
      <c r="G16" s="1"/>
    </row>
    <row r="17" spans="1:7" ht="32.25" customHeight="1" x14ac:dyDescent="0.25">
      <c r="A17" s="1"/>
      <c r="B17" s="119" t="s">
        <v>253</v>
      </c>
      <c r="C17" s="120"/>
      <c r="D17" s="120"/>
      <c r="E17" s="120"/>
      <c r="F17" s="121"/>
      <c r="G17" s="1"/>
    </row>
    <row r="18" spans="1:7" x14ac:dyDescent="0.25">
      <c r="A18" s="1"/>
      <c r="B18" s="1"/>
      <c r="C18" s="1"/>
      <c r="D18" s="1"/>
      <c r="E18" s="1"/>
      <c r="F18" s="1"/>
      <c r="G18" s="1"/>
    </row>
    <row r="19" spans="1:7" x14ac:dyDescent="0.25">
      <c r="A19" s="1"/>
      <c r="B19" s="65" t="s">
        <v>254</v>
      </c>
      <c r="C19" s="66"/>
      <c r="D19" s="66"/>
      <c r="E19" s="66"/>
      <c r="F19" s="67"/>
      <c r="G19" s="1"/>
    </row>
    <row r="20" spans="1:7" x14ac:dyDescent="0.25">
      <c r="A20" s="1"/>
      <c r="B20" s="68" t="s">
        <v>255</v>
      </c>
      <c r="C20" s="69"/>
      <c r="D20" s="70"/>
      <c r="E20" s="9">
        <v>85656526</v>
      </c>
      <c r="F20" s="14" t="s">
        <v>3</v>
      </c>
      <c r="G20" s="1"/>
    </row>
    <row r="21" spans="1:7" x14ac:dyDescent="0.25">
      <c r="A21" s="1"/>
      <c r="B21" s="68" t="s">
        <v>256</v>
      </c>
      <c r="C21" s="69"/>
      <c r="D21" s="70"/>
      <c r="E21" s="9">
        <v>90436449</v>
      </c>
      <c r="F21" s="14" t="s">
        <v>3</v>
      </c>
      <c r="G21" s="1"/>
    </row>
    <row r="22" spans="1:7" x14ac:dyDescent="0.25">
      <c r="A22" s="1"/>
      <c r="B22" s="68" t="s">
        <v>29</v>
      </c>
      <c r="C22" s="69"/>
      <c r="D22" s="70"/>
      <c r="E22" s="9">
        <v>0</v>
      </c>
      <c r="F22" s="14" t="s">
        <v>3</v>
      </c>
      <c r="G22" s="1"/>
    </row>
    <row r="23" spans="1:7" x14ac:dyDescent="0.25">
      <c r="A23" s="1"/>
      <c r="B23" s="73" t="s">
        <v>257</v>
      </c>
      <c r="C23" s="74"/>
      <c r="D23" s="75"/>
      <c r="E23" s="10">
        <f>E20-(E21-E22)</f>
        <v>-4779923</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107" t="s">
        <v>258</v>
      </c>
      <c r="C26" s="108"/>
      <c r="D26" s="108"/>
      <c r="E26" s="108"/>
      <c r="F26" s="109"/>
      <c r="G26" s="1"/>
    </row>
    <row r="27" spans="1:7" x14ac:dyDescent="0.25">
      <c r="A27" s="1"/>
      <c r="B27" s="129" t="s">
        <v>259</v>
      </c>
      <c r="C27" s="130"/>
      <c r="D27" s="131"/>
      <c r="E27" s="62">
        <f>IF(AND(E15&lt;0,E23&gt;0,ABS(SUM(E14:E15))&lt;E23),ABS(E14),IF(AND(E15&lt;0,E23&gt;0,ABS(SUM(E14:E15))&gt;E23),SUM(E14,E23),0))</f>
        <v>0</v>
      </c>
      <c r="F27" s="17" t="s">
        <v>3</v>
      </c>
      <c r="G27" s="1"/>
    </row>
    <row r="28" spans="1:7" x14ac:dyDescent="0.25">
      <c r="A28" s="1"/>
      <c r="B28" s="107"/>
      <c r="C28" s="108"/>
      <c r="D28" s="108"/>
      <c r="E28" s="108"/>
      <c r="F28" s="109"/>
      <c r="G28" s="1"/>
    </row>
    <row r="29" spans="1:7" x14ac:dyDescent="0.25">
      <c r="A29" s="1"/>
      <c r="B29" s="1"/>
      <c r="C29" s="1"/>
      <c r="D29" s="1"/>
      <c r="E29" s="1"/>
      <c r="F29" s="1"/>
      <c r="G29" s="1"/>
    </row>
    <row r="30" spans="1:7" x14ac:dyDescent="0.25">
      <c r="A30" s="1"/>
      <c r="B30" s="107" t="s">
        <v>260</v>
      </c>
      <c r="C30" s="108"/>
      <c r="D30" s="108"/>
      <c r="E30" s="108"/>
      <c r="F30" s="109"/>
      <c r="G30" s="1"/>
    </row>
    <row r="31" spans="1:7" x14ac:dyDescent="0.25">
      <c r="A31" s="1"/>
      <c r="B31" s="122" t="s">
        <v>117</v>
      </c>
      <c r="C31" s="123"/>
      <c r="D31" s="124"/>
      <c r="E31" s="63">
        <f>IF(AND(E9&gt;0,(E9+E23)&gt;0),0,IF(AND(E9&gt;0,(E9+E23)&lt;0),(E9+E23),IF(AND(E9&lt;0,E23&lt;0),E23,0)))</f>
        <v>-2998211</v>
      </c>
      <c r="F31" s="14" t="s">
        <v>3</v>
      </c>
      <c r="G31" s="1"/>
    </row>
    <row r="32" spans="1:7" x14ac:dyDescent="0.25">
      <c r="A32" s="1"/>
      <c r="B32" s="122" t="s">
        <v>85</v>
      </c>
      <c r="C32" s="123"/>
      <c r="D32" s="124"/>
      <c r="E32" s="9">
        <v>2</v>
      </c>
      <c r="F32" s="14" t="s">
        <v>18</v>
      </c>
      <c r="G32" s="1"/>
    </row>
    <row r="33" spans="1:7" x14ac:dyDescent="0.25">
      <c r="A33" s="1"/>
      <c r="B33" s="125" t="s">
        <v>116</v>
      </c>
      <c r="C33" s="125"/>
      <c r="D33" s="125"/>
      <c r="E33" s="62">
        <f>E31/E32</f>
        <v>-1499105.5</v>
      </c>
      <c r="F33" s="17" t="s">
        <v>3</v>
      </c>
      <c r="G33" s="1"/>
    </row>
    <row r="34" spans="1:7" x14ac:dyDescent="0.25">
      <c r="A34" s="1"/>
      <c r="B34" s="126"/>
      <c r="C34" s="127"/>
      <c r="D34" s="127"/>
      <c r="E34" s="127"/>
      <c r="F34" s="128"/>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XR7KFc9rQhHfrDHNiDlKKCL7GBQf0wa/9ICF1d59roboiCPrOHs9XE2eyzTyZBoWYY5/sxDtoKtq1JuPWeZPg==" saltValue="TBWfzRJgZcS9reGAxzdmMA==" spinCount="100000" sheet="1" objects="1" scenarios="1"/>
  <mergeCells count="16">
    <mergeCell ref="B31:D31"/>
    <mergeCell ref="B32:D32"/>
    <mergeCell ref="B33:D33"/>
    <mergeCell ref="B34:F34"/>
    <mergeCell ref="B15:D15"/>
    <mergeCell ref="B17:F17"/>
    <mergeCell ref="B26:F26"/>
    <mergeCell ref="B27:D27"/>
    <mergeCell ref="B28:F28"/>
    <mergeCell ref="B30:F30"/>
    <mergeCell ref="B14:D14"/>
    <mergeCell ref="B3:F4"/>
    <mergeCell ref="B8:F8"/>
    <mergeCell ref="B9:D9"/>
    <mergeCell ref="B11:F11"/>
    <mergeCell ref="B13:F1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7" t="s">
        <v>183</v>
      </c>
      <c r="C3" s="97"/>
      <c r="D3" s="97"/>
      <c r="E3" s="97"/>
      <c r="F3" s="97"/>
      <c r="G3" s="97"/>
      <c r="H3" s="97"/>
      <c r="I3" s="1"/>
    </row>
    <row r="4" spans="1:9" ht="15" customHeight="1" x14ac:dyDescent="0.25">
      <c r="A4" s="1"/>
      <c r="B4" s="97"/>
      <c r="C4" s="97"/>
      <c r="D4" s="97"/>
      <c r="E4" s="97"/>
      <c r="F4" s="97"/>
      <c r="G4" s="97"/>
      <c r="H4" s="9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7" t="s">
        <v>184</v>
      </c>
      <c r="C8" s="108"/>
      <c r="D8" s="108"/>
      <c r="E8" s="108"/>
      <c r="F8" s="108"/>
      <c r="G8" s="108"/>
      <c r="H8" s="109"/>
      <c r="I8" s="1"/>
    </row>
    <row r="9" spans="1:9" ht="15" customHeight="1" x14ac:dyDescent="0.25">
      <c r="A9" s="1"/>
      <c r="B9" s="132" t="s">
        <v>234</v>
      </c>
      <c r="C9" s="133"/>
      <c r="D9" s="133"/>
      <c r="E9" s="133"/>
      <c r="F9" s="133"/>
      <c r="G9" s="133"/>
      <c r="H9" s="134"/>
      <c r="I9" s="1"/>
    </row>
    <row r="10" spans="1:9" x14ac:dyDescent="0.25">
      <c r="A10" s="1"/>
      <c r="B10" s="135" t="s">
        <v>185</v>
      </c>
      <c r="C10" s="136"/>
      <c r="D10" s="136"/>
      <c r="E10" s="136"/>
      <c r="F10" s="137"/>
      <c r="G10" s="45">
        <v>0</v>
      </c>
      <c r="H10" s="9" t="s">
        <v>3</v>
      </c>
      <c r="I10" s="1"/>
    </row>
    <row r="11" spans="1:9" x14ac:dyDescent="0.25">
      <c r="A11" s="1"/>
      <c r="B11" s="135" t="s">
        <v>186</v>
      </c>
      <c r="C11" s="136"/>
      <c r="D11" s="136"/>
      <c r="E11" s="136"/>
      <c r="F11" s="137"/>
      <c r="G11" s="45">
        <v>0</v>
      </c>
      <c r="H11" s="9" t="s">
        <v>3</v>
      </c>
      <c r="I11" s="1"/>
    </row>
    <row r="12" spans="1:9" x14ac:dyDescent="0.25">
      <c r="A12" s="1"/>
      <c r="B12" s="135" t="s">
        <v>187</v>
      </c>
      <c r="C12" s="136"/>
      <c r="D12" s="136"/>
      <c r="E12" s="136"/>
      <c r="F12" s="137"/>
      <c r="G12" s="45">
        <v>0</v>
      </c>
      <c r="H12" s="9" t="s">
        <v>3</v>
      </c>
      <c r="I12" s="1"/>
    </row>
    <row r="13" spans="1:9" x14ac:dyDescent="0.25">
      <c r="A13" s="1"/>
      <c r="B13" s="135" t="s">
        <v>188</v>
      </c>
      <c r="C13" s="136"/>
      <c r="D13" s="136"/>
      <c r="E13" s="136"/>
      <c r="F13" s="137"/>
      <c r="G13" s="45">
        <v>0</v>
      </c>
      <c r="H13" s="9" t="s">
        <v>3</v>
      </c>
      <c r="I13" s="1"/>
    </row>
    <row r="14" spans="1:9" x14ac:dyDescent="0.25">
      <c r="A14" s="1"/>
      <c r="B14" s="135" t="s">
        <v>189</v>
      </c>
      <c r="C14" s="136"/>
      <c r="D14" s="136"/>
      <c r="E14" s="136"/>
      <c r="F14" s="137"/>
      <c r="G14" s="45">
        <v>0</v>
      </c>
      <c r="H14" s="9" t="s">
        <v>3</v>
      </c>
      <c r="I14" s="1"/>
    </row>
    <row r="15" spans="1:9" x14ac:dyDescent="0.25">
      <c r="A15" s="1"/>
      <c r="B15" s="135" t="s">
        <v>190</v>
      </c>
      <c r="C15" s="136"/>
      <c r="D15" s="136"/>
      <c r="E15" s="136"/>
      <c r="F15" s="137"/>
      <c r="G15" s="45">
        <v>0</v>
      </c>
      <c r="H15" s="9" t="s">
        <v>3</v>
      </c>
      <c r="I15" s="1"/>
    </row>
    <row r="16" spans="1:9" x14ac:dyDescent="0.25">
      <c r="A16" s="1"/>
      <c r="B16" s="135" t="s">
        <v>191</v>
      </c>
      <c r="C16" s="136"/>
      <c r="D16" s="136"/>
      <c r="E16" s="136"/>
      <c r="F16" s="137"/>
      <c r="G16" s="45">
        <v>0</v>
      </c>
      <c r="H16" s="9" t="s">
        <v>3</v>
      </c>
      <c r="I16" s="1"/>
    </row>
    <row r="17" spans="1:9" x14ac:dyDescent="0.25">
      <c r="A17" s="1"/>
      <c r="B17" s="135" t="s">
        <v>192</v>
      </c>
      <c r="C17" s="136"/>
      <c r="D17" s="136"/>
      <c r="E17" s="136"/>
      <c r="F17" s="137"/>
      <c r="G17" s="45">
        <v>0</v>
      </c>
      <c r="H17" s="9" t="s">
        <v>3</v>
      </c>
      <c r="I17" s="1"/>
    </row>
    <row r="18" spans="1:9" x14ac:dyDescent="0.25">
      <c r="A18" s="1"/>
      <c r="B18" s="107" t="s">
        <v>193</v>
      </c>
      <c r="C18" s="108"/>
      <c r="D18" s="108"/>
      <c r="E18" s="108"/>
      <c r="F18" s="109"/>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KjCIAgTsezMiS3UfFSjr5eILsAwabybOoCmG2/OPAxFECikM2ZTITLB9vF99SRra11K7GmE3eOmiF18m3Xrc7g==" saltValue="GJY7hK/mnhqyIXoFoLHSQQ=="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7" t="s">
        <v>177</v>
      </c>
      <c r="C3" s="97"/>
      <c r="D3" s="97"/>
      <c r="E3" s="97"/>
      <c r="F3" s="97"/>
      <c r="G3" s="97"/>
      <c r="H3" s="97"/>
      <c r="I3" s="97"/>
      <c r="J3" s="97"/>
      <c r="K3" s="97"/>
      <c r="L3" s="1"/>
    </row>
    <row r="4" spans="1:12" ht="15" customHeight="1" x14ac:dyDescent="0.25">
      <c r="A4" s="1"/>
      <c r="B4" s="97"/>
      <c r="C4" s="97"/>
      <c r="D4" s="97"/>
      <c r="E4" s="97"/>
      <c r="F4" s="97"/>
      <c r="G4" s="97"/>
      <c r="H4" s="97"/>
      <c r="I4" s="97"/>
      <c r="J4" s="97"/>
      <c r="K4" s="9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7" t="s">
        <v>155</v>
      </c>
      <c r="C8" s="108"/>
      <c r="D8" s="108"/>
      <c r="E8" s="108"/>
      <c r="F8" s="108"/>
      <c r="G8" s="108"/>
      <c r="H8" s="108"/>
      <c r="I8" s="108"/>
      <c r="J8" s="108"/>
      <c r="K8" s="109"/>
      <c r="L8" s="1"/>
    </row>
    <row r="9" spans="1:12" ht="39.75" customHeight="1" x14ac:dyDescent="0.25">
      <c r="A9" s="1"/>
      <c r="B9" s="18" t="s">
        <v>0</v>
      </c>
      <c r="C9" s="18" t="s">
        <v>1</v>
      </c>
      <c r="D9" s="138" t="s">
        <v>170</v>
      </c>
      <c r="E9" s="139"/>
      <c r="F9" s="138" t="s">
        <v>2</v>
      </c>
      <c r="G9" s="139"/>
      <c r="H9" s="138" t="s">
        <v>171</v>
      </c>
      <c r="I9" s="139"/>
      <c r="J9" s="138" t="s">
        <v>26</v>
      </c>
      <c r="K9" s="139"/>
      <c r="L9" s="1"/>
    </row>
    <row r="10" spans="1:12" x14ac:dyDescent="0.25">
      <c r="A10" s="1"/>
      <c r="B10" s="78"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67"/>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XvfdiaXvyuas3enYabUnCVeg5Xo8HcawHv/wFt/AmIX5BkPKLIiVP+c521hsl6j+IxDCewKr0+w5JynF+n3rCQ==" saltValue="cgaNyz2jk75Bc0h81Db6Y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178</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6" t="s">
        <v>15</v>
      </c>
      <c r="C9" s="76" t="s">
        <v>10</v>
      </c>
      <c r="D9" s="77"/>
      <c r="E9" s="76"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261</v>
      </c>
      <c r="C11" s="21">
        <v>0</v>
      </c>
      <c r="D11" s="14" t="s">
        <v>3</v>
      </c>
      <c r="E11" s="9">
        <v>348506</v>
      </c>
      <c r="F11" s="14" t="s">
        <v>3</v>
      </c>
      <c r="G11" s="1"/>
    </row>
    <row r="12" spans="1:7" x14ac:dyDescent="0.25">
      <c r="A12" s="1"/>
      <c r="B12" s="27" t="s">
        <v>262</v>
      </c>
      <c r="C12" s="21">
        <v>42247</v>
      </c>
      <c r="D12" s="14" t="s">
        <v>3</v>
      </c>
      <c r="E12" s="9">
        <v>349683</v>
      </c>
      <c r="F12" s="14" t="s">
        <v>3</v>
      </c>
      <c r="G12" s="1"/>
    </row>
    <row r="13" spans="1:7" x14ac:dyDescent="0.25">
      <c r="A13" s="1"/>
      <c r="B13" s="27" t="s">
        <v>263</v>
      </c>
      <c r="C13" s="21">
        <v>0</v>
      </c>
      <c r="D13" s="14" t="s">
        <v>3</v>
      </c>
      <c r="E13" s="9">
        <v>16817225</v>
      </c>
      <c r="F13" s="14" t="s">
        <v>3</v>
      </c>
      <c r="G13" s="1"/>
    </row>
    <row r="14" spans="1:7" x14ac:dyDescent="0.25">
      <c r="A14" s="1"/>
      <c r="B14" s="27" t="s">
        <v>264</v>
      </c>
      <c r="C14" s="21">
        <v>0</v>
      </c>
      <c r="D14" s="14" t="s">
        <v>3</v>
      </c>
      <c r="E14" s="9">
        <v>47235</v>
      </c>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42247</v>
      </c>
      <c r="D17" s="13" t="s">
        <v>3</v>
      </c>
      <c r="E17" s="12">
        <f>SUM(E10:E16)</f>
        <v>17562649</v>
      </c>
      <c r="F17" s="13" t="s">
        <v>3</v>
      </c>
      <c r="G17" s="1"/>
    </row>
    <row r="18" spans="1:7" x14ac:dyDescent="0.25">
      <c r="A18" s="1"/>
      <c r="B18" s="52" t="s">
        <v>209</v>
      </c>
      <c r="C18" s="12">
        <f>C17*(1+'Fane 13. Nøgletal'!C16)</f>
        <v>45660.5576</v>
      </c>
      <c r="D18" s="13" t="s">
        <v>3</v>
      </c>
      <c r="E18" s="12">
        <f>E17*(1+'Fane 13. Nøgletal'!C16)</f>
        <v>18981711.0392</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fRSelvI4yVIMt98ZpaW29dYbsdzDbh/4qOTsyp1LZA+TpYnyQ4nypiT685za5QxPgmd6ZIzVZnkns51KZ2TJHg==" saltValue="V3E8cEK5s2SlRH3nVkYGu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179</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7" t="s">
        <v>217</v>
      </c>
      <c r="C9" s="108"/>
      <c r="D9" s="108"/>
      <c r="E9" s="108"/>
      <c r="F9" s="109"/>
      <c r="G9" s="1"/>
    </row>
    <row r="10" spans="1:7" ht="26.25" x14ac:dyDescent="0.25">
      <c r="A10" s="1"/>
      <c r="B10" s="76" t="s">
        <v>15</v>
      </c>
      <c r="C10" s="76" t="s">
        <v>10</v>
      </c>
      <c r="D10" s="77"/>
      <c r="E10" s="76" t="s">
        <v>27</v>
      </c>
      <c r="F10" s="30"/>
      <c r="G10" s="1"/>
    </row>
    <row r="11" spans="1:7" x14ac:dyDescent="0.25">
      <c r="A11" s="1"/>
      <c r="B11" s="23" t="s">
        <v>265</v>
      </c>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kZpIH+Af8j191UogXuy/4+EKqTpY0ZIcPl1JrWABVHmOPtvsupGtT5U8GjeAapPKZx5o6jLYmjwAiMP8qlRLfg==" saltValue="EqYTg9lB8ltfet6CwM8dQw=="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180</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7" t="s">
        <v>104</v>
      </c>
      <c r="C8" s="108"/>
      <c r="D8" s="108"/>
      <c r="E8" s="108"/>
      <c r="F8" s="109"/>
      <c r="G8" s="1"/>
    </row>
    <row r="9" spans="1:7" ht="15" customHeight="1" x14ac:dyDescent="0.25">
      <c r="A9" s="1"/>
      <c r="B9" s="54" t="s">
        <v>105</v>
      </c>
      <c r="C9" s="132" t="s">
        <v>10</v>
      </c>
      <c r="D9" s="134"/>
      <c r="E9" s="132" t="s">
        <v>27</v>
      </c>
      <c r="F9" s="134"/>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YLkyQcAdnSpwEuBD52fNjqZhRbQrYHgCg/g88uMbrz2wIZxjMvEbrtI3jLq/YTMMeMN7E8pyycpCXeWJ2vjrug==" saltValue="TrtpXAWPiiXIepKqC2m+Q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181</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7" t="s">
        <v>237</v>
      </c>
      <c r="C10" s="108"/>
      <c r="D10" s="108"/>
      <c r="E10" s="108"/>
      <c r="F10" s="109"/>
      <c r="G10" s="1"/>
    </row>
    <row r="11" spans="1:7" ht="26.25" x14ac:dyDescent="0.25">
      <c r="A11" s="1"/>
      <c r="B11" s="54" t="s">
        <v>16</v>
      </c>
      <c r="C11" s="54" t="s">
        <v>10</v>
      </c>
      <c r="D11" s="30"/>
      <c r="E11" s="54" t="s">
        <v>27</v>
      </c>
      <c r="F11" s="30"/>
      <c r="G11" s="1"/>
    </row>
    <row r="12" spans="1:7" x14ac:dyDescent="0.25">
      <c r="A12" s="1"/>
      <c r="B12" s="58" t="s">
        <v>242</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jaaiPrC/8o46Bbc8j6xDZP5VPNChljqUi1/sinfbt1Z9ukm8sDPaykiXgA/6wCd8WXmUYll/rpOr0efdzB4vyw==" saltValue="uJrSPi45a+FNasRU/vk8zg=="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0" t="s">
        <v>182</v>
      </c>
      <c r="C3" s="100"/>
      <c r="D3" s="1"/>
    </row>
    <row r="4" spans="1:4" ht="25.5" customHeight="1" x14ac:dyDescent="0.25">
      <c r="A4" s="1"/>
      <c r="B4" s="100"/>
      <c r="C4" s="100"/>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71" t="s">
        <v>93</v>
      </c>
      <c r="C9" s="40">
        <v>1.2699999999999999E-2</v>
      </c>
      <c r="D9" s="1"/>
    </row>
    <row r="10" spans="1:4" x14ac:dyDescent="0.25">
      <c r="A10" s="1"/>
      <c r="B10" s="71" t="s">
        <v>21</v>
      </c>
      <c r="C10" s="40">
        <v>1.7500000000000002E-2</v>
      </c>
      <c r="D10" s="1"/>
    </row>
    <row r="11" spans="1:4" x14ac:dyDescent="0.25">
      <c r="A11" s="1"/>
      <c r="B11" s="71"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7"/>
      <c r="C17" s="109"/>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71" t="s">
        <v>95</v>
      </c>
      <c r="C21" s="42">
        <v>9.1000000000000004E-3</v>
      </c>
      <c r="D21" s="1"/>
    </row>
    <row r="22" spans="1:4" x14ac:dyDescent="0.25">
      <c r="A22" s="1"/>
      <c r="B22" s="71" t="s">
        <v>96</v>
      </c>
      <c r="C22" s="42">
        <v>1.77E-2</v>
      </c>
      <c r="D22" s="1"/>
    </row>
    <row r="23" spans="1:4" x14ac:dyDescent="0.25">
      <c r="A23" s="1"/>
      <c r="B23" s="71" t="s">
        <v>97</v>
      </c>
      <c r="C23" s="42">
        <v>8.6999999999999994E-3</v>
      </c>
      <c r="D23" s="1"/>
    </row>
    <row r="24" spans="1:4" x14ac:dyDescent="0.25">
      <c r="A24" s="1"/>
      <c r="B24" s="71" t="s">
        <v>98</v>
      </c>
      <c r="C24" s="42">
        <v>2.8400000000000002E-2</v>
      </c>
      <c r="D24" s="1"/>
    </row>
    <row r="25" spans="1:4" x14ac:dyDescent="0.25">
      <c r="A25" s="1"/>
      <c r="B25" s="71" t="s">
        <v>111</v>
      </c>
      <c r="C25" s="42">
        <v>2.75E-2</v>
      </c>
      <c r="D25" s="1"/>
    </row>
    <row r="26" spans="1:4" x14ac:dyDescent="0.25">
      <c r="A26" s="1"/>
      <c r="B26" s="71"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71"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aetRbwco4VYhO12AvAwWrpX1sCBtTJNAbSegVR/1hXvL/ctSAcDCDCb+lbi5sCEUU4NoYoAOo0yUXGiTXRJOoQ==" saltValue="z+H/er8S5oJ9EQGkVyn8KQ=="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Vera Høyer Moesgaard</cp:lastModifiedBy>
  <cp:lastPrinted>2016-06-14T12:57:30Z</cp:lastPrinted>
  <dcterms:created xsi:type="dcterms:W3CDTF">2016-06-02T08:51:18Z</dcterms:created>
  <dcterms:modified xsi:type="dcterms:W3CDTF">2023-11-17T11:33:35Z</dcterms:modified>
</cp:coreProperties>
</file>