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Lemvig Vand &amp; Spildevand AS (V120)\ØR2025\"/>
    </mc:Choice>
  </mc:AlternateContent>
  <xr:revisionPtr revIDLastSave="0" documentId="13_ncr:1_{B119E10B-6FF5-45DD-BE53-492D7E219246}"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<sst xmlns="http://schemas.openxmlformats.org/spreadsheetml/2006/main" count="447" uniqueCount="203">
  <si>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</si>
  <si>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</si>
  <si>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</si>
  <si>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</si>
  <si>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</si>
  <si>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</si>
  <si>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</si>
  <si>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</si>
  <si>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</si>
  <si>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</si>
  <si>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</si>
  <si>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</si>
  <si>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</si>
  <si>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</si>
  <si>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</si>
  <si>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</si>
  <si>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</si>
  <si>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</si>
  <si>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</si>
  <si>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</si>
  <si>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</si>
  <si>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</si>
  <si>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</si>
  <si>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</si>
  <si>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</si>
  <si>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</si>
  <si>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</si>
  <si>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</si>
  <si>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</si>
  <si>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</si>
  <si>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</si>
  <si>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</si>
  <si>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</si>
  <si>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</si>
  <si>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</si>
  <si>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</si>
  <si>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</si>
  <si>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</si>
  <si>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</si>
  <si>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</si>
  <si>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</si>
  <si>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</si>
  <si>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</si>
  <si>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</si>
  <si>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</si>
  <si>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</si>
  <si>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</si>
  <si>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</si>
  <si>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</si>
  <si>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</si>
  <si>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</si>
  <si>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</si>
  <si>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</si>
  <si>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</si>
  <si>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</si>
  <si>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</si>
  <si>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</si>
  <si>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</si>
  <si>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</si>
  <si>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</si>
  <si>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</si>
  <si>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</si>
  <si>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</si>
  <si>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</si>
  <si>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</si>
  <si>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</si>
  <si>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</si>
  <si>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</si>
  <si>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</si>
  <si>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</si>
  <si>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</si>
  <si>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</si>
  <si>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</si>
  <si>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</si>
  <si>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</si>
  <si>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</si>
  <si>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</si>
  <si>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</si>
  <si>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</si>
  <si>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</si>
  <si>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</si>
  <si>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</si>
  <si>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</si>
  <si>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</si>
  <si>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</si>
  <si>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</si>
  <si>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</si>
  <si>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</si>
  <si>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</si>
  <si>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</si>
  <si>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</si>
  <si>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</si>
  <si>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</si>
  <si>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</si>
  <si>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</si>
  <si>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</si>
  <si>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</si>
  <si>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</si>
  <si>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</si>
  <si>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</si>
  <si>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</si>
  <si>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</si>
  <si>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</si>
  <si>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</si>
  <si>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</si>
  <si>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</si>
  <si>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</si>
  <si>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</si>
  <si>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</si>
  <si>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</si>
  <si>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</si>
  <si>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</si>
  <si>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</si>
  <si>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</si>
  <si>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</si>
  <si>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</si>
  <si>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</si>
  <si>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</si>
  <si>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</si>
  <si>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</si>
  <si>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</si>
  <si>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</si>
  <si>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</si>
  <si>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</si>
  <si>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</si>
  <si>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</si>
  <si>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</si>
  <si>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</si>
  <si>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</si>
  <si>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</si>
  <si>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</si>
  <si>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</si>
  <si>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</si>
  <si>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</si>
  <si>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</si>
  <si>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</si>
  <si>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</si>
  <si>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</si>
  <si>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</si>
  <si>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</si>
  <si>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</si>
  <si>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</si>
  <si>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</si>
  <si>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</si>
  <si>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</si>
  <si>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</si>
  <si>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</si>
  <si>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</si>
  <si>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</si>
  <si>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</si>
  <si>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</si>
  <si>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</si>
  <si>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</si>
  <si>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</si>
  <si>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</si>
  <si>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</si>
  <si>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</si>
  <si>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</si>
  <si>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</si>
  <si>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</si>
  <si>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</si>
  <si>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</si>
  <si>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</si>
  <si>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</si>
  <si>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</si>
  <si>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</si>
  <si>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</si>
  <si>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</si>
  <si>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</si>
  <si>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</si>
  <si>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</si>
  <si>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</si>
  <si>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</si>
  <si>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</si>
  <si>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</si>
  <si>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</si>
  <si>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</si>
  <si>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</si>
  <si>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</si>
  <si>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</si>
  <si>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</si>
  <si>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</si>
  <si>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</si>
  <si>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</si>
  <si>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</si>
  <si>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</si>
  <si>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</si>
  <si>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</si>
  <si>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</si>
  <si>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</si>
  <si>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</si>
  <si>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</si>
  <si>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</si>
  <si>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</si>
  <si>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</si>
  <si>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</si>
  <si>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</si>
  <si>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</si>
  <si>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</si>
  <si>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</si>
  <si>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Tjenestemandspensioner</t>
  </si>
  <si>
    <t>Erstatninger</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</si>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</sst>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8" t="s">
        <v>4</v>
      </c>
      <c r="D6" s="88"/>
      <c r="E6" s="88"/>
      <c r="F6" s="88"/>
      <c r="G6" s="1"/>
    </row>
    <row r="7" spans="1:7" ht="15" customHeight="1" x14ac:dyDescent="0.25">
      <c r="A7" s="1"/>
      <c r="B7" s="3"/>
      <c r="C7" s="88"/>
      <c r="D7" s="88"/>
      <c r="E7" s="88"/>
      <c r="F7" s="88"/>
      <c r="G7" s="1"/>
    </row>
    <row r="8" spans="1:7" ht="15.75" x14ac:dyDescent="0.25">
      <c r="A8" s="1"/>
      <c r="B8" s="4"/>
      <c r="C8" s="90" t="s">
        <v>196</v>
      </c>
      <c r="D8" s="90"/>
      <c r="E8" s="90"/>
      <c r="F8" s="90"/>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9" t="s">
        <v>5</v>
      </c>
      <c r="D11" s="89"/>
      <c r="E11" s="89"/>
      <c r="F11" s="89"/>
      <c r="G11" s="1"/>
    </row>
    <row r="12" spans="1:7" x14ac:dyDescent="0.25">
      <c r="A12" s="1"/>
      <c r="B12" s="1"/>
      <c r="C12" s="1"/>
      <c r="D12" s="1"/>
      <c r="E12" s="1"/>
      <c r="F12" s="1"/>
      <c r="G12" s="1"/>
    </row>
    <row r="13" spans="1:7" x14ac:dyDescent="0.25">
      <c r="A13" s="1"/>
      <c r="B13" s="6" t="s">
        <v>6</v>
      </c>
      <c r="C13" s="85" t="s">
        <v>124</v>
      </c>
      <c r="D13" s="86"/>
      <c r="E13" s="86"/>
      <c r="F13" s="87"/>
      <c r="G13" s="1"/>
    </row>
    <row r="14" spans="1:7" x14ac:dyDescent="0.25">
      <c r="A14" s="1"/>
      <c r="B14" s="6" t="s">
        <v>14</v>
      </c>
      <c r="C14" s="85" t="s">
        <v>159</v>
      </c>
      <c r="D14" s="86"/>
      <c r="E14" s="86"/>
      <c r="F14" s="87"/>
      <c r="G14" s="1"/>
    </row>
    <row r="15" spans="1:7" x14ac:dyDescent="0.25">
      <c r="A15" s="1"/>
      <c r="B15" s="6" t="s">
        <v>29</v>
      </c>
      <c r="C15" s="85" t="s">
        <v>107</v>
      </c>
      <c r="D15" s="86"/>
      <c r="E15" s="86"/>
      <c r="F15" s="87"/>
      <c r="G15" s="1"/>
    </row>
    <row r="16" spans="1:7" x14ac:dyDescent="0.25">
      <c r="A16" s="1"/>
      <c r="B16" s="6" t="s">
        <v>30</v>
      </c>
      <c r="C16" s="85" t="s">
        <v>125</v>
      </c>
      <c r="D16" s="86"/>
      <c r="E16" s="86"/>
      <c r="F16" s="87"/>
      <c r="G16" s="1"/>
    </row>
    <row r="17" spans="1:7" x14ac:dyDescent="0.25">
      <c r="A17" s="1"/>
      <c r="B17" s="6" t="s">
        <v>57</v>
      </c>
      <c r="C17" s="85" t="s">
        <v>126</v>
      </c>
      <c r="D17" s="86"/>
      <c r="E17" s="86"/>
      <c r="F17" s="87"/>
      <c r="G17" s="1"/>
    </row>
    <row r="18" spans="1:7" x14ac:dyDescent="0.25">
      <c r="A18" s="1"/>
      <c r="B18" s="6" t="s">
        <v>49</v>
      </c>
      <c r="C18" s="91" t="s">
        <v>42</v>
      </c>
      <c r="D18" s="92"/>
      <c r="E18" s="92"/>
      <c r="F18" s="93"/>
      <c r="G18" s="1"/>
    </row>
    <row r="19" spans="1:7" x14ac:dyDescent="0.25">
      <c r="A19" s="1"/>
      <c r="B19" s="6" t="s">
        <v>50</v>
      </c>
      <c r="C19" s="91" t="s">
        <v>43</v>
      </c>
      <c r="D19" s="92"/>
      <c r="E19" s="92"/>
      <c r="F19" s="93"/>
      <c r="G19" s="1"/>
    </row>
    <row r="20" spans="1:7" x14ac:dyDescent="0.25">
      <c r="A20" s="1"/>
      <c r="B20" s="6" t="s">
        <v>7</v>
      </c>
      <c r="C20" s="91" t="s">
        <v>9</v>
      </c>
      <c r="D20" s="92"/>
      <c r="E20" s="92"/>
      <c r="F20" s="93"/>
      <c r="G20" s="1"/>
    </row>
    <row r="21" spans="1:7" x14ac:dyDescent="0.25">
      <c r="A21" s="1"/>
      <c r="B21" s="6" t="s">
        <v>51</v>
      </c>
      <c r="C21" s="82" t="s">
        <v>11</v>
      </c>
      <c r="D21" s="83"/>
      <c r="E21" s="83"/>
      <c r="F21" s="84"/>
      <c r="G21" s="1"/>
    </row>
    <row r="22" spans="1:7" x14ac:dyDescent="0.25">
      <c r="A22" s="1"/>
      <c r="B22" s="6" t="s">
        <v>37</v>
      </c>
      <c r="C22" s="76" t="s">
        <v>127</v>
      </c>
      <c r="D22" s="77"/>
      <c r="E22" s="77"/>
      <c r="F22" s="78"/>
      <c r="G22" s="1"/>
    </row>
    <row r="23" spans="1:7" x14ac:dyDescent="0.25">
      <c r="A23" s="1"/>
      <c r="B23" s="6" t="s">
        <v>8</v>
      </c>
      <c r="C23" s="76" t="s">
        <v>89</v>
      </c>
      <c r="D23" s="77"/>
      <c r="E23" s="77"/>
      <c r="F23" s="78"/>
      <c r="G23" s="1"/>
    </row>
    <row r="24" spans="1:7" x14ac:dyDescent="0.25">
      <c r="A24" s="1"/>
      <c r="B24" s="6" t="s">
        <v>85</v>
      </c>
      <c r="C24" s="76" t="s">
        <v>78</v>
      </c>
      <c r="D24" s="77"/>
      <c r="E24" s="77"/>
      <c r="F24" s="78"/>
      <c r="G24" s="1"/>
    </row>
    <row r="25" spans="1:7" x14ac:dyDescent="0.25">
      <c r="A25" s="1"/>
      <c r="B25" s="6" t="s">
        <v>86</v>
      </c>
      <c r="C25" s="76" t="s">
        <v>38</v>
      </c>
      <c r="D25" s="77"/>
      <c r="E25" s="77"/>
      <c r="F25" s="78"/>
      <c r="G25" s="1"/>
    </row>
    <row r="26" spans="1:7" x14ac:dyDescent="0.25">
      <c r="A26" s="1"/>
      <c r="B26" s="6" t="s">
        <v>87</v>
      </c>
      <c r="C26" s="76" t="s">
        <v>39</v>
      </c>
      <c r="D26" s="77"/>
      <c r="E26" s="77"/>
      <c r="F26" s="78"/>
      <c r="G26" s="1"/>
    </row>
    <row r="27" spans="1:7" x14ac:dyDescent="0.25">
      <c r="A27" s="1"/>
      <c r="B27" s="6" t="s">
        <v>52</v>
      </c>
      <c r="C27" s="76" t="s">
        <v>58</v>
      </c>
      <c r="D27" s="77"/>
      <c r="E27" s="77"/>
      <c r="F27" s="78"/>
      <c r="G27" s="1"/>
    </row>
    <row r="28" spans="1:7" x14ac:dyDescent="0.25">
      <c r="A28" s="1"/>
      <c r="B28" s="6" t="s">
        <v>46</v>
      </c>
      <c r="C28" s="76" t="s">
        <v>31</v>
      </c>
      <c r="D28" s="77"/>
      <c r="E28" s="77"/>
      <c r="F28" s="78"/>
      <c r="G28" s="1"/>
    </row>
    <row r="29" spans="1:7" x14ac:dyDescent="0.25">
      <c r="A29" s="1"/>
      <c r="B29" s="6" t="s">
        <v>88</v>
      </c>
      <c r="C29" s="79" t="s">
        <v>47</v>
      </c>
      <c r="D29" s="80"/>
      <c r="E29" s="80"/>
      <c r="F29" s="8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FB5f5lzRkwzdD9VLOcHMk03C9VKxCM/I0jYvo2pckEAVCzJB6p8YvAc00760OGmB397yXnIGWrAPP7OxfcUsWQ==" saltValue="eoPn9tPYm5IhZu5QMpVEbA==" spinCount="100000" sheet="1" objects="1" scenarios="1"/>
  <mergeCells count="20">
    <mergeCell ref="C14:F14"/>
    <mergeCell ref="C6:F7"/>
    <mergeCell ref="C22:F22"/>
    <mergeCell ref="C11:F11"/>
    <mergeCell ref="C8:F8"/>
    <mergeCell ref="C15:F15"/>
    <mergeCell ref="C16:F16"/>
    <mergeCell ref="C13:F13"/>
    <mergeCell ref="C17:F17"/>
    <mergeCell ref="C18:F18"/>
    <mergeCell ref="C19:F19"/>
    <mergeCell ref="C20:F20"/>
    <mergeCell ref="C28:F28"/>
    <mergeCell ref="C29:F29"/>
    <mergeCell ref="C21:F21"/>
    <mergeCell ref="C24:F24"/>
    <mergeCell ref="C25:F25"/>
    <mergeCell ref="C27:F27"/>
    <mergeCell ref="C26:F26"/>
    <mergeCell ref="C23:F23"/>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1" t="s">
        <v>27</v>
      </c>
      <c r="C9" s="45" t="s">
        <v>145</v>
      </c>
      <c r="D9" s="11"/>
      <c r="E9" s="1"/>
    </row>
    <row r="10" spans="1:5" ht="15" customHeight="1" x14ac:dyDescent="0.25">
      <c r="A10" s="1"/>
      <c r="B10" s="64" t="s">
        <v>197</v>
      </c>
      <c r="C10" s="65">
        <v>10655903.890000001</v>
      </c>
      <c r="D10" s="14" t="s">
        <v>3</v>
      </c>
      <c r="E10" s="1"/>
    </row>
    <row r="11" spans="1:5" x14ac:dyDescent="0.25">
      <c r="A11" s="1"/>
      <c r="B11" s="64" t="s">
        <v>198</v>
      </c>
      <c r="C11" s="65">
        <v>52465</v>
      </c>
      <c r="D11" s="14" t="s">
        <v>3</v>
      </c>
      <c r="E11" s="1"/>
    </row>
    <row r="12" spans="1:5" x14ac:dyDescent="0.25">
      <c r="A12" s="1"/>
      <c r="B12" s="64" t="s">
        <v>199</v>
      </c>
      <c r="C12" s="65">
        <v>45369.2</v>
      </c>
      <c r="D12" s="14" t="s">
        <v>3</v>
      </c>
      <c r="E12" s="1"/>
    </row>
    <row r="13" spans="1:5" x14ac:dyDescent="0.25">
      <c r="A13" s="1"/>
      <c r="B13" s="64" t="s">
        <v>200</v>
      </c>
      <c r="C13" s="65">
        <v>15653</v>
      </c>
      <c r="D13" s="14" t="s">
        <v>3</v>
      </c>
      <c r="E13" s="1"/>
    </row>
    <row r="14" spans="1:5" x14ac:dyDescent="0.25">
      <c r="A14" s="1"/>
      <c r="B14" s="64" t="s">
        <v>201</v>
      </c>
      <c r="C14" s="65">
        <v>10420</v>
      </c>
      <c r="D14" s="14" t="s">
        <v>3</v>
      </c>
      <c r="E14" s="1"/>
    </row>
    <row r="15" spans="1:5" x14ac:dyDescent="0.25">
      <c r="A15" s="1"/>
      <c r="B15" s="64"/>
      <c r="C15" s="65"/>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10779811.09</v>
      </c>
      <c r="D19" s="13" t="s">
        <v>3</v>
      </c>
      <c r="E19" s="1"/>
    </row>
    <row r="20" spans="1:5" x14ac:dyDescent="0.25">
      <c r="A20" s="1"/>
      <c r="B20" s="52" t="s">
        <v>144</v>
      </c>
      <c r="C20" s="12">
        <f>C19*(1+'Fane 13. Nøgletal'!C11)^2</f>
        <v>12256598.748344202</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o65QVUC7gpTYe3RPaxJraDYMjkP8pPHURVoC9fdwZT7XJOYilmH4bLXaDdJWG2ySlm0R3eAlk84i5Yj5ljOaWA==" saltValue="CKmPNn+ZP5Wnz/IED3h2e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172</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7"/>
      <c r="C6" s="67"/>
      <c r="D6" s="67"/>
      <c r="E6" s="1"/>
    </row>
    <row r="7" spans="1:5" x14ac:dyDescent="0.25">
      <c r="A7" s="1"/>
      <c r="B7" s="1"/>
      <c r="C7" s="1"/>
      <c r="D7" s="1"/>
      <c r="E7" s="1"/>
    </row>
    <row r="8" spans="1:5" x14ac:dyDescent="0.25">
      <c r="A8" s="1"/>
      <c r="B8" s="98" t="s">
        <v>175</v>
      </c>
      <c r="C8" s="99"/>
      <c r="D8" s="100"/>
      <c r="E8" s="1"/>
    </row>
    <row r="9" spans="1:5" x14ac:dyDescent="0.25">
      <c r="A9" s="1"/>
      <c r="B9" s="56" t="s">
        <v>176</v>
      </c>
      <c r="C9" s="9">
        <v>5104713.4200733155</v>
      </c>
      <c r="D9" s="39" t="s">
        <v>3</v>
      </c>
      <c r="E9" s="1"/>
    </row>
    <row r="10" spans="1:5" x14ac:dyDescent="0.25">
      <c r="A10" s="1"/>
      <c r="B10" s="56" t="s">
        <v>174</v>
      </c>
      <c r="C10" s="9">
        <v>3243842.184225183</v>
      </c>
      <c r="D10" s="14" t="s">
        <v>3</v>
      </c>
      <c r="E10" s="1"/>
    </row>
    <row r="11" spans="1:5" x14ac:dyDescent="0.25">
      <c r="A11" s="1"/>
      <c r="B11" s="52"/>
      <c r="C11" s="53"/>
      <c r="D11" s="19"/>
      <c r="E11" s="1"/>
    </row>
    <row r="12" spans="1:5" ht="53.85" customHeight="1" x14ac:dyDescent="0.25">
      <c r="A12" s="1"/>
      <c r="B12" s="107" t="s">
        <v>173</v>
      </c>
      <c r="C12" s="108"/>
      <c r="D12" s="109"/>
      <c r="E12" s="1"/>
    </row>
    <row r="13" spans="1:5" x14ac:dyDescent="0.25">
      <c r="A13" s="1"/>
      <c r="B13" s="1"/>
      <c r="C13" s="1"/>
      <c r="D13" s="1"/>
      <c r="E13" s="1"/>
    </row>
    <row r="14" spans="1:5" x14ac:dyDescent="0.25">
      <c r="A14" s="1"/>
      <c r="B14" s="68" t="s">
        <v>177</v>
      </c>
      <c r="C14" s="69"/>
      <c r="D14" s="70"/>
      <c r="E14" s="1"/>
    </row>
    <row r="15" spans="1:5" x14ac:dyDescent="0.25">
      <c r="A15" s="1"/>
      <c r="B15" s="56" t="s">
        <v>178</v>
      </c>
      <c r="C15" s="9">
        <f>IF(C10&lt;0,C10,0)</f>
        <v>0</v>
      </c>
      <c r="D15" s="14" t="s">
        <v>3</v>
      </c>
      <c r="E15" s="1"/>
    </row>
    <row r="16" spans="1:5" x14ac:dyDescent="0.25">
      <c r="A16" s="1"/>
      <c r="B16" s="56" t="s">
        <v>185</v>
      </c>
      <c r="C16" s="9">
        <f>IF(SUM(C9)&gt;0,SUM(C9),0)</f>
        <v>5104713.4200733155</v>
      </c>
      <c r="D16" s="14" t="s">
        <v>3</v>
      </c>
      <c r="E16" s="1"/>
    </row>
    <row r="17" spans="1:5" ht="26.25" x14ac:dyDescent="0.25">
      <c r="A17" s="1"/>
      <c r="B17" s="71" t="s">
        <v>179</v>
      </c>
      <c r="C17" s="62">
        <f>IF(SUM(C15:C16)&gt;0,0,SUM(C15:C16))</f>
        <v>0</v>
      </c>
      <c r="D17" s="17" t="s">
        <v>3</v>
      </c>
      <c r="E17" s="1"/>
    </row>
    <row r="18" spans="1:5" x14ac:dyDescent="0.25">
      <c r="A18" s="1"/>
      <c r="B18" s="52"/>
      <c r="C18" s="53"/>
      <c r="D18" s="19"/>
      <c r="E18" s="1"/>
    </row>
    <row r="19" spans="1:5" x14ac:dyDescent="0.25">
      <c r="A19" s="1"/>
      <c r="B19" s="1"/>
      <c r="C19" s="1"/>
      <c r="D19" s="1"/>
      <c r="E19" s="1"/>
    </row>
    <row r="20" spans="1:5" x14ac:dyDescent="0.25">
      <c r="A20" s="1"/>
      <c r="B20" s="68" t="s">
        <v>180</v>
      </c>
      <c r="C20" s="69"/>
      <c r="D20" s="70"/>
      <c r="E20" s="1"/>
    </row>
    <row r="21" spans="1:5" x14ac:dyDescent="0.25">
      <c r="A21" s="1"/>
      <c r="B21" s="56" t="s">
        <v>181</v>
      </c>
      <c r="C21" s="9">
        <v>35276128.577432953</v>
      </c>
      <c r="D21" s="14" t="s">
        <v>3</v>
      </c>
      <c r="E21" s="1"/>
    </row>
    <row r="22" spans="1:5" x14ac:dyDescent="0.25">
      <c r="A22" s="1"/>
      <c r="B22" s="56" t="s">
        <v>182</v>
      </c>
      <c r="C22" s="9">
        <v>28629155.649999999</v>
      </c>
      <c r="D22" s="14" t="s">
        <v>3</v>
      </c>
      <c r="E22" s="1"/>
    </row>
    <row r="23" spans="1:5" x14ac:dyDescent="0.25">
      <c r="A23" s="1"/>
      <c r="B23" s="56" t="s">
        <v>28</v>
      </c>
      <c r="C23" s="9">
        <v>0</v>
      </c>
      <c r="D23" s="14" t="s">
        <v>3</v>
      </c>
      <c r="E23" s="1"/>
    </row>
    <row r="24" spans="1:5" x14ac:dyDescent="0.25">
      <c r="A24" s="1"/>
      <c r="B24" s="73" t="s">
        <v>183</v>
      </c>
      <c r="C24" s="46">
        <f>C21-C22-C23</f>
        <v>6646972.9274329543</v>
      </c>
      <c r="D24" s="17" t="s">
        <v>3</v>
      </c>
      <c r="E24" s="1"/>
    </row>
    <row r="25" spans="1:5" x14ac:dyDescent="0.25">
      <c r="A25" s="1"/>
      <c r="B25" s="52"/>
      <c r="C25" s="53"/>
      <c r="D25" s="19"/>
      <c r="E25" s="1"/>
    </row>
    <row r="26" spans="1:5" x14ac:dyDescent="0.25">
      <c r="A26" s="1"/>
      <c r="B26" s="1"/>
      <c r="C26" s="1"/>
      <c r="D26" s="1"/>
      <c r="E26" s="1"/>
    </row>
    <row r="27" spans="1:5" x14ac:dyDescent="0.25">
      <c r="A27" s="1"/>
      <c r="B27" s="98" t="s">
        <v>184</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0</v>
      </c>
      <c r="D28" s="14" t="s">
        <v>3</v>
      </c>
      <c r="E28" s="1"/>
    </row>
    <row r="29" spans="1:5" x14ac:dyDescent="0.25">
      <c r="A29" s="1"/>
      <c r="B29" s="57" t="s">
        <v>48</v>
      </c>
      <c r="C29" s="9">
        <v>2</v>
      </c>
      <c r="D29" s="14" t="s">
        <v>18</v>
      </c>
      <c r="E29" s="1"/>
    </row>
    <row r="30" spans="1:5" x14ac:dyDescent="0.25">
      <c r="A30" s="1"/>
      <c r="B30" s="58" t="s">
        <v>64</v>
      </c>
      <c r="C30" s="10">
        <f>C28/C29</f>
        <v>0</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nmZFqTe1dSrfZxOhFX2uf6kir1IqsPcVFAz/L6XjnpvMz3fR8fhhBBQc7+yMQ/0oQAlV2FJxHKiLMV0WAFfJ+g==" saltValue="ECb00Ct+ShvMqhQbeXZHU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6" t="s">
        <v>96</v>
      </c>
      <c r="C3" s="96"/>
      <c r="D3" s="96"/>
      <c r="E3" s="1"/>
    </row>
    <row r="4" spans="1:5" ht="15" customHeight="1" x14ac:dyDescent="0.25">
      <c r="A4" s="1"/>
      <c r="B4" s="96"/>
      <c r="C4" s="96"/>
      <c r="D4" s="96"/>
      <c r="E4" s="1"/>
    </row>
    <row r="5" spans="1:5" x14ac:dyDescent="0.25">
      <c r="A5" s="1"/>
      <c r="B5" s="96"/>
      <c r="C5" s="96"/>
      <c r="D5" s="96"/>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8"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gk/blwvfhurRXTnk3zPO0UoiB9Vf9t+2uYnmsEUlp5GkQOAji5UXCicGYRIy9u5JLfy7zQ6up7lRi/GWsbBQDw==" saltValue="ukBwuGv87t9FU9uyeRy0JA=="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0"/>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bNDbjJHixikcWCcHCPE4eaoMinapAagB1y49hg3p0Qkzk08udyi2TRZIgbKQZm3gcL6I4Ai4sk7jsAPEv9+VRA==" saltValue="kiQOl9vB4SgqUHp4E39U7Q=="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1" t="s">
        <v>15</v>
      </c>
      <c r="C9" s="73" t="s">
        <v>10</v>
      </c>
      <c r="D9" s="72"/>
      <c r="E9" s="73"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c r="C11" s="21"/>
      <c r="D11" s="14" t="s">
        <v>3</v>
      </c>
      <c r="E11" s="9"/>
      <c r="F11" s="14" t="s">
        <v>3</v>
      </c>
      <c r="G11" s="1"/>
    </row>
    <row r="12" spans="1:7" x14ac:dyDescent="0.25">
      <c r="A12" s="1"/>
      <c r="B12" s="26"/>
      <c r="C12" s="21"/>
      <c r="D12" s="14" t="s">
        <v>3</v>
      </c>
      <c r="E12" s="9"/>
      <c r="F12" s="14" t="s">
        <v>3</v>
      </c>
      <c r="G12" s="1"/>
    </row>
    <row r="13" spans="1:7" x14ac:dyDescent="0.25">
      <c r="A13" s="1"/>
      <c r="B13" s="26"/>
      <c r="C13" s="21"/>
      <c r="D13" s="14" t="s">
        <v>3</v>
      </c>
      <c r="E13" s="9"/>
      <c r="F13" s="14" t="s">
        <v>3</v>
      </c>
      <c r="G13" s="1"/>
    </row>
    <row r="14" spans="1:7" x14ac:dyDescent="0.25">
      <c r="A14" s="1"/>
      <c r="B14" s="26"/>
      <c r="C14" s="21"/>
      <c r="D14" s="14" t="s">
        <v>3</v>
      </c>
      <c r="E14" s="9"/>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112</v>
      </c>
      <c r="C17" s="12">
        <f>SUM(C10:C16)</f>
        <v>0</v>
      </c>
      <c r="D17" s="13" t="s">
        <v>3</v>
      </c>
      <c r="E17" s="12">
        <f>SUM(E10:E16)</f>
        <v>0</v>
      </c>
      <c r="F17" s="13" t="s">
        <v>3</v>
      </c>
      <c r="G17" s="1"/>
    </row>
    <row r="18" spans="1:7" x14ac:dyDescent="0.25">
      <c r="A18" s="1"/>
      <c r="B18" s="52" t="s">
        <v>147</v>
      </c>
      <c r="C18" s="12">
        <f>C17*(1+'Fane 13. Nøgletal'!C11)</f>
        <v>0</v>
      </c>
      <c r="D18" s="13" t="s">
        <v>3</v>
      </c>
      <c r="E18" s="12">
        <f>E17*(1+'Fane 13. Nøgletal'!C11)</f>
        <v>0</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W0xtzZrIXqk9XuOsgsnxmnB5QQRL/IxRqtgbk/LBMU4Ito/xRa+RhLhOtR6zKg5QG6dOUX4oIQxzoyaxWSNaYQ==" saltValue="iXoIUnBgO93Dv/F4fF2ZzA=="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150</v>
      </c>
      <c r="C8" s="99"/>
      <c r="D8" s="99"/>
      <c r="E8" s="99"/>
      <c r="F8" s="100"/>
      <c r="G8" s="1"/>
    </row>
    <row r="9" spans="1:7" x14ac:dyDescent="0.25">
      <c r="A9" s="1"/>
      <c r="B9" s="71" t="s">
        <v>15</v>
      </c>
      <c r="C9" s="73" t="s">
        <v>10</v>
      </c>
      <c r="D9" s="74"/>
      <c r="E9" s="73" t="s">
        <v>26</v>
      </c>
      <c r="F9" s="27"/>
      <c r="G9" s="1"/>
    </row>
    <row r="10" spans="1:7" x14ac:dyDescent="0.25">
      <c r="A10" s="1"/>
      <c r="B10" s="23" t="s">
        <v>202</v>
      </c>
      <c r="C10" s="21"/>
      <c r="D10" s="14" t="s">
        <v>3</v>
      </c>
      <c r="E10" s="9"/>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148</v>
      </c>
      <c r="C13" s="12">
        <f>SUM(C10:C12)</f>
        <v>0</v>
      </c>
      <c r="D13" s="13" t="s">
        <v>3</v>
      </c>
      <c r="E13" s="12">
        <f>SUM(E10:E12)</f>
        <v>0</v>
      </c>
      <c r="F13" s="13" t="s">
        <v>3</v>
      </c>
      <c r="G13" s="1"/>
    </row>
    <row r="14" spans="1:7" x14ac:dyDescent="0.25">
      <c r="A14" s="1"/>
      <c r="B14" s="52" t="s">
        <v>149</v>
      </c>
      <c r="C14" s="12">
        <f>C13*(1+'Fane 13. Nøgletal'!$C$11)^2</f>
        <v>0</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uf3+y9XfWV2jlDgnSEvnK8yQoesAkNZGJAi2r9665m1diDQZWqTsCxH1/NQCSpfkN2XEch4rrQ3fMCEtKPp2KQ==" saltValue="tEt8h/NrZ0+HU+wEXP/aSA=="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93</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4" t="s">
        <v>60</v>
      </c>
      <c r="C9" s="118" t="s">
        <v>10</v>
      </c>
      <c r="D9" s="119"/>
      <c r="E9" s="118" t="s">
        <v>26</v>
      </c>
      <c r="F9" s="119"/>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3MNe4WN9+oiGWBzFkAsunj9L0vaZ9GUP6qbd9PDCTmFliqJxZs5bnkea/KmsmXow+mDfOBBr7EIO3aGIxMT3zQ==" saltValue="5g2REqqttAV+zv2/SN7EoQ=="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94</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152</v>
      </c>
      <c r="C8" s="99"/>
      <c r="D8" s="99"/>
      <c r="E8" s="99"/>
      <c r="F8" s="100"/>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IvI+7xb23riM3QjUeWxQSaQEZpCEsRO9KGW9oO4gFNayNswZqeDKbPlIarU3vYqy/dHuKRqdLbi8t0Js6Exu6w==" saltValue="DqdK+uZ5Zoa9wOJigMs6Cg=="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6" t="s">
        <v>95</v>
      </c>
      <c r="C3" s="96"/>
      <c r="D3" s="1"/>
    </row>
    <row r="4" spans="1:4" ht="15" customHeight="1" x14ac:dyDescent="0.25">
      <c r="A4" s="1"/>
      <c r="B4" s="96"/>
      <c r="C4" s="96"/>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194</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195</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5hUq/MR565vKL7Ac2NauHJl9xFy57cB6xEzPQm43EAu7oo7YZyH0wEIfHYGgVxVtdB5A6TeB/2t3+aIfUmY6Vw==" saltValue="oEBrpugPYb2nnFyuPjH8Hg=="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20948716.473227564</v>
      </c>
      <c r="D9" s="8" t="s">
        <v>3</v>
      </c>
      <c r="E9" s="1"/>
    </row>
    <row r="10" spans="1:5" ht="17.100000000000001" customHeight="1" x14ac:dyDescent="0.25">
      <c r="A10" s="1"/>
      <c r="B10" s="24" t="s">
        <v>32</v>
      </c>
      <c r="C10" s="7">
        <f>'Fane 10.1. Varige tillæg'!C18</f>
        <v>0</v>
      </c>
      <c r="D10" s="8" t="s">
        <v>3</v>
      </c>
      <c r="E10" s="1"/>
    </row>
    <row r="11" spans="1:5" ht="17.100000000000001" customHeight="1" x14ac:dyDescent="0.25">
      <c r="A11" s="1"/>
      <c r="B11" s="24" t="s">
        <v>33</v>
      </c>
      <c r="C11" s="9">
        <f>'Fane 10.1. Varige tillæg'!E18</f>
        <v>0</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1388899.9021749874</v>
      </c>
      <c r="D16" s="8" t="s">
        <v>3</v>
      </c>
      <c r="E16" s="1"/>
    </row>
    <row r="17" spans="1:5" ht="17.100000000000001" customHeight="1" x14ac:dyDescent="0.25">
      <c r="A17" s="1"/>
      <c r="B17" s="24" t="s">
        <v>9</v>
      </c>
      <c r="C17" s="9">
        <f>-SUM(C9:C16)*'Fane 5. Individuelt eff. krav'!C9</f>
        <v>0</v>
      </c>
      <c r="D17" s="8" t="s">
        <v>3</v>
      </c>
      <c r="E17" s="1"/>
    </row>
    <row r="18" spans="1:5" ht="17.100000000000001" customHeight="1" x14ac:dyDescent="0.25">
      <c r="A18" s="1"/>
      <c r="B18" s="24" t="s">
        <v>21</v>
      </c>
      <c r="C18" s="9">
        <f>-'Fane 4.1. Gen. krav - drift'!C17</f>
        <v>-167273.50228892194</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3" t="s">
        <v>19</v>
      </c>
      <c r="C20" s="10">
        <f>SUM(C9:C19)</f>
        <v>22170342.873113628</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12256598.748344202</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0</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0</v>
      </c>
      <c r="D26" s="8" t="s">
        <v>3</v>
      </c>
      <c r="E26" s="1"/>
    </row>
    <row r="27" spans="1:5" ht="15" customHeight="1" x14ac:dyDescent="0.25">
      <c r="A27" s="1"/>
      <c r="B27" s="24" t="s">
        <v>80</v>
      </c>
      <c r="C27" s="9">
        <f>-C25*('Fane 13. Nøgletal'!C18+'Fane 5. Individuelt eff. krav'!C9)</f>
        <v>0</v>
      </c>
      <c r="D27" s="8" t="s">
        <v>3</v>
      </c>
      <c r="E27" s="1"/>
    </row>
    <row r="28" spans="1:5" x14ac:dyDescent="0.25">
      <c r="A28" s="1"/>
      <c r="B28" s="73" t="s">
        <v>40</v>
      </c>
      <c r="C28" s="50">
        <f>SUM(C24:C27)</f>
        <v>0</v>
      </c>
      <c r="D28" s="11" t="s">
        <v>3</v>
      </c>
      <c r="E28" s="1"/>
    </row>
    <row r="29" spans="1:5" ht="15" customHeight="1" x14ac:dyDescent="0.25">
      <c r="A29" s="1"/>
      <c r="B29" s="25" t="s">
        <v>65</v>
      </c>
      <c r="C29" s="53"/>
      <c r="D29" s="19"/>
      <c r="E29" s="1"/>
    </row>
    <row r="30" spans="1:5" x14ac:dyDescent="0.25">
      <c r="A30" s="1"/>
      <c r="B30" s="58" t="s">
        <v>66</v>
      </c>
      <c r="C30" s="10">
        <f>'Fane 7. Kontrol af ØR2023'!C30</f>
        <v>0</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34426941.62145783</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UBMtUwE3YwY1hcwxj57V0XUWRn/e1Vem83l4wR13FGt+/NYe1Fq5Qj0MK8TZxNlTdjwCYXscIQfyRlf+bR/DRQ==" saltValue="OXvh1MYFxC3mytVvB7Nsv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22170342.873113628</v>
      </c>
      <c r="D9" s="8" t="s">
        <v>3</v>
      </c>
      <c r="E9" s="1"/>
    </row>
    <row r="10" spans="1:5" ht="15" customHeight="1" x14ac:dyDescent="0.25">
      <c r="A10" s="1"/>
      <c r="B10" s="47" t="s">
        <v>17</v>
      </c>
      <c r="C10" s="41">
        <f>C9*'Fane 13. Nøgletal'!C11</f>
        <v>1469893.7324874336</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drift'!C22</f>
        <v>-174796.46078086391</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23465440.144820198</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13069211.245359423</v>
      </c>
      <c r="D16" s="11" t="s">
        <v>3</v>
      </c>
      <c r="E16" s="1"/>
    </row>
    <row r="17" spans="1:5" x14ac:dyDescent="0.25">
      <c r="A17" s="1"/>
      <c r="B17" s="25" t="s">
        <v>65</v>
      </c>
      <c r="C17" s="53"/>
      <c r="D17" s="19"/>
      <c r="E17" s="1"/>
    </row>
    <row r="18" spans="1:5" ht="15" customHeight="1" x14ac:dyDescent="0.25">
      <c r="A18" s="1"/>
      <c r="B18" s="45" t="s">
        <v>66</v>
      </c>
      <c r="C18" s="10">
        <f>'Fane 7. Kontrol af ØR2023'!C30</f>
        <v>0</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36534651.390179619</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PX9tX53tejaUTHBs5rI+5qvxsBUKDPaPPZhz87m17Ut61/T6AyzhID216Wst/UqeStkIWYIn/Tn2/3lUBxNsaA==" saltValue="0LLLZt7kjZY8L2+vrqoVK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23465440.144820198</v>
      </c>
      <c r="D9" s="8" t="s">
        <v>3</v>
      </c>
      <c r="E9" s="1"/>
    </row>
    <row r="10" spans="1:5" ht="15" customHeight="1" x14ac:dyDescent="0.25">
      <c r="A10" s="1"/>
      <c r="B10" s="47" t="s">
        <v>17</v>
      </c>
      <c r="C10" s="41">
        <f>C9*'Fane 13. Nøgletal'!C11</f>
        <v>1555758.6816015791</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drift'!C27</f>
        <v>-182657.75680802247</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24838541.069613755</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13935699.950926753</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38774241.020540506</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CBMl4LJzrkjjxCjZL25R+ALefHsmZg/JDHPObSuSboC4gXDlhzfludLZgX+UF+cRTa3suPrHBKSwHvionZpGCg==" saltValue="1rD7VXHzhcKhybSdYwG3v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24838541.069613755</v>
      </c>
      <c r="D9" s="8" t="s">
        <v>3</v>
      </c>
      <c r="E9" s="1"/>
    </row>
    <row r="10" spans="1:5" ht="15" customHeight="1" x14ac:dyDescent="0.25">
      <c r="A10" s="1"/>
      <c r="B10" s="47" t="s">
        <v>17</v>
      </c>
      <c r="C10" s="9">
        <f>C9*'Fane 13. Nøgletal'!C11</f>
        <v>1646795.2729153919</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drift'!C32</f>
        <v>-190872.60676270651</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26294463.735766441</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14859636.857673196</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41154100.593439639</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6dpXAkFtHbVQsqQADjFfr8SWxR6qJ21mpdvH+7dyJIcynocCdvqXHamjqBwAGl8gKzsKwJG9fW4BqSOsw4wqHw==" saltValue="BrrN5+SBT3gkhu/WPMMn5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6" t="s">
        <v>134</v>
      </c>
      <c r="C3" s="96"/>
      <c r="D3" s="96"/>
      <c r="E3" s="1"/>
    </row>
    <row r="4" spans="1:5" ht="15" customHeight="1" x14ac:dyDescent="0.25">
      <c r="A4" s="1"/>
      <c r="B4" s="96"/>
      <c r="C4" s="96"/>
      <c r="D4" s="96"/>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20417276.889595643</v>
      </c>
      <c r="D9" s="8" t="s">
        <v>3</v>
      </c>
      <c r="E9" s="1"/>
    </row>
    <row r="10" spans="1:5" x14ac:dyDescent="0.25">
      <c r="A10" s="1"/>
      <c r="B10" s="24" t="s">
        <v>32</v>
      </c>
      <c r="C10" s="7">
        <v>0</v>
      </c>
      <c r="D10" s="8" t="s">
        <v>3</v>
      </c>
      <c r="E10" s="1"/>
    </row>
    <row r="11" spans="1:5" ht="15" customHeight="1" x14ac:dyDescent="0.25">
      <c r="A11" s="1"/>
      <c r="B11" s="24" t="s">
        <v>33</v>
      </c>
      <c r="C11" s="9">
        <v>0</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726855.05726960488</v>
      </c>
      <c r="D16" s="8" t="s">
        <v>3</v>
      </c>
      <c r="E16" s="1"/>
    </row>
    <row r="17" spans="1:5" x14ac:dyDescent="0.25">
      <c r="A17" s="1"/>
      <c r="B17" s="24" t="s">
        <v>9</v>
      </c>
      <c r="C17" s="9">
        <v>-35341.153808746451</v>
      </c>
      <c r="D17" s="8" t="s">
        <v>3</v>
      </c>
      <c r="E17" s="1"/>
    </row>
    <row r="18" spans="1:5" x14ac:dyDescent="0.25">
      <c r="A18" s="1"/>
      <c r="B18" s="24" t="s">
        <v>21</v>
      </c>
      <c r="C18" s="9">
        <v>-160074.3198289354</v>
      </c>
      <c r="D18" s="8" t="s">
        <v>3</v>
      </c>
      <c r="E18" s="1"/>
    </row>
    <row r="19" spans="1:5" x14ac:dyDescent="0.25">
      <c r="A19" s="1"/>
      <c r="B19" s="24" t="s">
        <v>22</v>
      </c>
      <c r="C19" s="9">
        <v>0</v>
      </c>
      <c r="D19" s="8" t="s">
        <v>3</v>
      </c>
      <c r="E19" s="1"/>
    </row>
    <row r="20" spans="1:5" x14ac:dyDescent="0.25">
      <c r="A20" s="1"/>
      <c r="B20" s="73" t="s">
        <v>19</v>
      </c>
      <c r="C20" s="10">
        <v>20948716.473227564</v>
      </c>
      <c r="D20" s="11" t="s">
        <v>3</v>
      </c>
      <c r="E20" s="1"/>
    </row>
    <row r="21" spans="1:5" x14ac:dyDescent="0.25">
      <c r="A21" s="1"/>
      <c r="B21" s="52" t="s">
        <v>11</v>
      </c>
      <c r="C21" s="53"/>
      <c r="D21" s="19"/>
      <c r="E21" s="1"/>
    </row>
    <row r="22" spans="1:5" x14ac:dyDescent="0.25">
      <c r="A22" s="1"/>
      <c r="B22" s="54" t="s">
        <v>11</v>
      </c>
      <c r="C22" s="10">
        <v>15040738.581272678</v>
      </c>
      <c r="D22" s="11" t="s">
        <v>3</v>
      </c>
      <c r="E22" s="1"/>
    </row>
    <row r="23" spans="1:5" x14ac:dyDescent="0.25">
      <c r="A23" s="1"/>
      <c r="B23" s="52" t="s">
        <v>39</v>
      </c>
      <c r="C23" s="53"/>
      <c r="D23" s="19"/>
      <c r="E23" s="1"/>
    </row>
    <row r="24" spans="1:5" ht="1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79</v>
      </c>
      <c r="C26" s="9">
        <v>0</v>
      </c>
      <c r="D26" s="8" t="s">
        <v>3</v>
      </c>
      <c r="E26" s="1"/>
    </row>
    <row r="27" spans="1:5" ht="14.25" customHeight="1" x14ac:dyDescent="0.25">
      <c r="A27" s="1"/>
      <c r="B27" s="24" t="s">
        <v>80</v>
      </c>
      <c r="C27" s="9">
        <v>0</v>
      </c>
      <c r="D27" s="8" t="s">
        <v>3</v>
      </c>
      <c r="E27" s="1"/>
    </row>
    <row r="28" spans="1:5" ht="14.25" customHeight="1" x14ac:dyDescent="0.25">
      <c r="A28" s="1"/>
      <c r="B28" s="73" t="s">
        <v>40</v>
      </c>
      <c r="C28" s="50">
        <v>0</v>
      </c>
      <c r="D28" s="11" t="s">
        <v>3</v>
      </c>
      <c r="E28" s="1"/>
    </row>
    <row r="29" spans="1:5" x14ac:dyDescent="0.25">
      <c r="A29" s="1"/>
      <c r="B29" s="25" t="s">
        <v>65</v>
      </c>
      <c r="C29" s="53"/>
      <c r="D29" s="19"/>
      <c r="E29" s="1"/>
    </row>
    <row r="30" spans="1:5" x14ac:dyDescent="0.25">
      <c r="A30" s="1"/>
      <c r="B30" s="58" t="s">
        <v>66</v>
      </c>
      <c r="C30" s="10">
        <v>0</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52" t="s">
        <v>67</v>
      </c>
      <c r="C33" s="29">
        <v>35989455.054500245</v>
      </c>
      <c r="D33" s="19" t="s">
        <v>3</v>
      </c>
      <c r="E33" s="1"/>
    </row>
    <row r="34" spans="1:5" ht="30" customHeight="1" x14ac:dyDescent="0.25">
      <c r="A34" s="1"/>
      <c r="B34" s="97" t="s">
        <v>193</v>
      </c>
      <c r="C34" s="97"/>
      <c r="D34" s="97"/>
      <c r="E34" s="1"/>
    </row>
    <row r="35" spans="1:5" ht="27.75" customHeight="1"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yiYX+z9DkF8omDyYNkUbm84iMPGvVIOJhUG5EswJkP74Shi+z6dSenancSfK1MYjLiDvcy66DR1m8f8TRvXilg==" saltValue="hMJQrB4qWbV40gpQA5D1Aw=="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6" t="s">
        <v>53</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7"/>
      <c r="C6" s="67"/>
      <c r="D6" s="67"/>
      <c r="E6" s="1"/>
    </row>
    <row r="7" spans="1:5" x14ac:dyDescent="0.25">
      <c r="A7" s="1"/>
      <c r="B7" s="1"/>
      <c r="C7" s="32"/>
      <c r="D7" s="1"/>
      <c r="E7" s="1"/>
    </row>
    <row r="8" spans="1:5" x14ac:dyDescent="0.25">
      <c r="A8" s="1"/>
      <c r="B8" s="98" t="s">
        <v>75</v>
      </c>
      <c r="C8" s="99"/>
      <c r="D8" s="100"/>
      <c r="E8" s="1"/>
    </row>
    <row r="9" spans="1:5" x14ac:dyDescent="0.25">
      <c r="A9" s="1"/>
      <c r="B9" s="56" t="s">
        <v>167</v>
      </c>
      <c r="C9" s="22">
        <v>8003715.9914467698</v>
      </c>
      <c r="D9" s="14" t="s">
        <v>3</v>
      </c>
      <c r="E9" s="1"/>
    </row>
    <row r="10" spans="1:5" x14ac:dyDescent="0.25">
      <c r="A10" s="1"/>
      <c r="B10" s="56" t="s">
        <v>110</v>
      </c>
      <c r="C10" s="61">
        <f>('Fane 3. Omkostninger i ØR2024'!C10+'Fane 3. Omkostninger i ØR2024'!C12+'Fane 3. Omkostninger i ØR2024'!C14)*(1+'Fane 13. Nøgletal'!C10)</f>
        <v>0</v>
      </c>
      <c r="D10" s="14" t="s">
        <v>3</v>
      </c>
      <c r="E10" s="1"/>
    </row>
    <row r="11" spans="1:5" x14ac:dyDescent="0.25">
      <c r="A11" s="1"/>
      <c r="B11" s="56" t="s">
        <v>81</v>
      </c>
      <c r="C11" s="22">
        <f>C9*'Fane 13. Nøgletal'!C23+C10*'Fane 13. Nøgletal'!C23</f>
        <v>160074.3198289354</v>
      </c>
      <c r="D11" s="14" t="s">
        <v>3</v>
      </c>
      <c r="E11" s="1"/>
    </row>
    <row r="12" spans="1:5" x14ac:dyDescent="0.25">
      <c r="A12" s="1"/>
      <c r="B12" s="52"/>
      <c r="C12" s="31"/>
      <c r="D12" s="19"/>
      <c r="E12" s="1"/>
    </row>
    <row r="13" spans="1:5" x14ac:dyDescent="0.25">
      <c r="A13" s="1"/>
      <c r="B13" s="1"/>
      <c r="C13" s="32"/>
      <c r="D13" s="1"/>
      <c r="E13" s="1"/>
    </row>
    <row r="14" spans="1:5" x14ac:dyDescent="0.25">
      <c r="A14" s="1"/>
      <c r="B14" s="98" t="s">
        <v>153</v>
      </c>
      <c r="C14" s="99"/>
      <c r="D14" s="100"/>
      <c r="E14" s="1"/>
    </row>
    <row r="15" spans="1:5" x14ac:dyDescent="0.25">
      <c r="A15" s="1"/>
      <c r="B15" s="56" t="s">
        <v>168</v>
      </c>
      <c r="C15" s="22">
        <f>(C9+C10-C11)*(1+'Fane 13. Nøgletal'!C11)</f>
        <v>8363675.1144460971</v>
      </c>
      <c r="D15" s="14" t="s">
        <v>3</v>
      </c>
      <c r="E15" s="1"/>
    </row>
    <row r="16" spans="1:5" x14ac:dyDescent="0.25">
      <c r="A16" s="1"/>
      <c r="B16" s="56" t="s">
        <v>154</v>
      </c>
      <c r="C16" s="61">
        <f>('Fane 2.1. Økonomisk ramme 2025'!C10+'Fane 2.1. Økonomisk ramme 2025'!C12+'Fane 2.1. Økonomisk ramme 2025'!C14)*(1+'Fane 13. Nøgletal'!C11)</f>
        <v>0</v>
      </c>
      <c r="D16" s="14" t="s">
        <v>3</v>
      </c>
      <c r="E16" s="1"/>
    </row>
    <row r="17" spans="1:5" x14ac:dyDescent="0.25">
      <c r="A17" s="1"/>
      <c r="B17" s="56" t="s">
        <v>155</v>
      </c>
      <c r="C17" s="22">
        <f>(C15+C16)*'Fane 13. Nøgletal'!C23</f>
        <v>167273.50228892194</v>
      </c>
      <c r="D17" s="14" t="s">
        <v>3</v>
      </c>
      <c r="E17" s="1"/>
    </row>
    <row r="18" spans="1:5" x14ac:dyDescent="0.25">
      <c r="A18" s="1"/>
      <c r="B18" s="52"/>
      <c r="C18" s="31"/>
      <c r="D18" s="19"/>
      <c r="E18" s="1"/>
    </row>
    <row r="19" spans="1:5" x14ac:dyDescent="0.25">
      <c r="A19" s="1"/>
      <c r="B19" s="1"/>
      <c r="C19" s="32"/>
      <c r="D19" s="1"/>
      <c r="E19" s="1"/>
    </row>
    <row r="20" spans="1:5" x14ac:dyDescent="0.25">
      <c r="A20" s="1"/>
      <c r="B20" s="98" t="s">
        <v>170</v>
      </c>
      <c r="C20" s="99"/>
      <c r="D20" s="100"/>
      <c r="E20" s="1"/>
    </row>
    <row r="21" spans="1:5" x14ac:dyDescent="0.25">
      <c r="A21" s="1"/>
      <c r="B21" s="56" t="s">
        <v>169</v>
      </c>
      <c r="C21" s="48">
        <f>(C15+C16-C17)*(1+'Fane 13. Nøgletal'!C11)</f>
        <v>8739823.0390431955</v>
      </c>
      <c r="D21" s="14" t="s">
        <v>3</v>
      </c>
      <c r="E21" s="1"/>
    </row>
    <row r="22" spans="1:5" x14ac:dyDescent="0.25">
      <c r="A22" s="1"/>
      <c r="B22" s="56" t="s">
        <v>171</v>
      </c>
      <c r="C22" s="48">
        <f>(C21)*'Fane 13. Nøgletal'!C23</f>
        <v>174796.46078086391</v>
      </c>
      <c r="D22" s="14" t="s">
        <v>3</v>
      </c>
      <c r="E22" s="1"/>
    </row>
    <row r="23" spans="1:5" x14ac:dyDescent="0.25">
      <c r="A23" s="1"/>
      <c r="B23" s="52"/>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9132887.8404011242</v>
      </c>
      <c r="D26" s="14" t="s">
        <v>3</v>
      </c>
      <c r="E26" s="1"/>
    </row>
    <row r="27" spans="1:5" x14ac:dyDescent="0.25">
      <c r="A27" s="1"/>
      <c r="B27" s="56" t="s">
        <v>118</v>
      </c>
      <c r="C27" s="48">
        <f>(C26)*'Fane 13. Nøgletal'!C23</f>
        <v>182657.75680802247</v>
      </c>
      <c r="D27" s="14" t="s">
        <v>3</v>
      </c>
      <c r="E27" s="1"/>
    </row>
    <row r="28" spans="1:5" x14ac:dyDescent="0.25">
      <c r="A28" s="1"/>
      <c r="B28" s="52"/>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9543630.3381353244</v>
      </c>
      <c r="D31" s="14" t="s">
        <v>3</v>
      </c>
      <c r="E31" s="1"/>
    </row>
    <row r="32" spans="1:5" x14ac:dyDescent="0.25">
      <c r="A32" s="1"/>
      <c r="B32" s="56" t="s">
        <v>138</v>
      </c>
      <c r="C32" s="48">
        <f>(C31)*'Fane 13. Nøgletal'!C23</f>
        <v>190872.60676270651</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drqgAMtgB5UGPs8km/PU4FXdUs9P97bAhMNU2uk1+gvjMFOOPvFyPETwK/AONuwwi92eicAhjFa/M/VwNSXIGg==" saltValue="3X652nUh1ncld/2UG26Dog=="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162</v>
      </c>
      <c r="C9" s="48">
        <v>13645961.259662135</v>
      </c>
      <c r="D9" s="14" t="s">
        <v>3</v>
      </c>
      <c r="E9" s="1"/>
    </row>
    <row r="10" spans="1:5" x14ac:dyDescent="0.25">
      <c r="A10" s="1"/>
      <c r="B10" s="56" t="s">
        <v>113</v>
      </c>
      <c r="C10" s="75">
        <f>('Fane 3. Omkostninger i ØR2024'!C11+'Fane 3. Omkostninger i ØR2024'!C13+'Fane 3. Omkostninger i ØR2024'!C15)*(1+'Fane 13. Nøgletal'!C10)</f>
        <v>0</v>
      </c>
      <c r="D10" s="14" t="s">
        <v>3</v>
      </c>
      <c r="E10" s="1"/>
    </row>
    <row r="11" spans="1:5" x14ac:dyDescent="0.25">
      <c r="A11" s="1"/>
      <c r="B11" s="56" t="s">
        <v>114</v>
      </c>
      <c r="C11" s="75">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8" t="s">
        <v>156</v>
      </c>
      <c r="C14" s="99"/>
      <c r="D14" s="100"/>
      <c r="E14" s="1"/>
    </row>
    <row r="15" spans="1:5" x14ac:dyDescent="0.25">
      <c r="A15" s="1"/>
      <c r="B15" s="56" t="s">
        <v>163</v>
      </c>
      <c r="C15" s="48">
        <f>(C9+C10-C11)*(1+'Fane 13. Nøgletal'!C11)</f>
        <v>14550688.491177734</v>
      </c>
      <c r="D15" s="14" t="s">
        <v>3</v>
      </c>
      <c r="E15" s="1"/>
    </row>
    <row r="16" spans="1:5" x14ac:dyDescent="0.25">
      <c r="A16" s="1"/>
      <c r="B16" s="56" t="s">
        <v>157</v>
      </c>
      <c r="C16" s="75">
        <f>('Fane 2.1. Økonomisk ramme 2025'!C11+'Fane 2.1. Økonomisk ramme 2025'!C13+'Fane 2.1. Økonomisk ramme 2025'!C15)*(1+'Fane 13. Nøgletal'!C11)</f>
        <v>0</v>
      </c>
      <c r="D16" s="14" t="s">
        <v>3</v>
      </c>
      <c r="E16" s="1"/>
    </row>
    <row r="17" spans="1:5" x14ac:dyDescent="0.25">
      <c r="A17" s="1"/>
      <c r="B17" s="56" t="s">
        <v>158</v>
      </c>
      <c r="C17" s="75">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8" t="s">
        <v>166</v>
      </c>
      <c r="C20" s="99"/>
      <c r="D20" s="100"/>
      <c r="E20" s="1"/>
    </row>
    <row r="21" spans="1:5" x14ac:dyDescent="0.25">
      <c r="A21" s="1"/>
      <c r="B21" s="56" t="s">
        <v>164</v>
      </c>
      <c r="C21" s="48">
        <f>(C15+C16-C17)*(1+'Fane 13. Nøgletal'!C11)</f>
        <v>15515399.138142819</v>
      </c>
      <c r="D21" s="14" t="s">
        <v>3</v>
      </c>
      <c r="E21" s="1"/>
    </row>
    <row r="22" spans="1:5" x14ac:dyDescent="0.25">
      <c r="A22" s="1"/>
      <c r="B22" s="56" t="s">
        <v>165</v>
      </c>
      <c r="C22" s="75">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16544070.101001687</v>
      </c>
      <c r="D26" s="14" t="s">
        <v>3</v>
      </c>
      <c r="E26" s="1"/>
    </row>
    <row r="27" spans="1:5" x14ac:dyDescent="0.25">
      <c r="A27" s="1"/>
      <c r="B27" s="56" t="s">
        <v>121</v>
      </c>
      <c r="C27" s="75">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17640941.9486981</v>
      </c>
      <c r="D31" s="14" t="s">
        <v>3</v>
      </c>
      <c r="E31" s="1"/>
    </row>
    <row r="32" spans="1:5" x14ac:dyDescent="0.25">
      <c r="A32" s="1"/>
      <c r="B32" s="56" t="s">
        <v>141</v>
      </c>
      <c r="C32" s="75">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lOcAQzCX0oP+bdUcXUwbq/DWTLycaMZjDoIugB1NRQFixwMRQ5i5qUqYrE9V9hivghnY9lR6Re+Xsn4LRzikTA==" saltValue="DMmNCb5RD8aORSCc4wjJdA=="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160</v>
      </c>
      <c r="C9" s="44">
        <v>0</v>
      </c>
      <c r="D9" s="1"/>
    </row>
    <row r="10" spans="1:4" x14ac:dyDescent="0.25">
      <c r="A10" s="1"/>
      <c r="B10" s="52"/>
      <c r="C10" s="19"/>
      <c r="D10" s="1"/>
    </row>
    <row r="11" spans="1:4" ht="15" customHeight="1" x14ac:dyDescent="0.25">
      <c r="A11" s="1"/>
      <c r="B11" s="103" t="s">
        <v>161</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BRrqyV5yh4huHVrzedKUsvA9C5olzqKCPEx6C2rAAfYGEWI+VwRCv43URED7MesxwbcaNEW+Ihg8x26ZKbHb+A==" saltValue="H+Md8gqRk+NJG9o9Kg0u1A=="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2024-09-05T06:46:10Z</dcterms:modified>
</cp:coreProperties>
</file>