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Spildevand\HOFOR SPILDEVAND BRØNDBY AS (S011)\ØR2027\"/>
    </mc:Choice>
  </mc:AlternateContent>
  <xr:revisionPtr revIDLastSave="0" documentId="13_ncr:1_{3683C967-CE8C-4950-AD0E-D9AF5B025925}" xr6:coauthVersionLast="47" xr6:coauthVersionMax="47" xr10:uidLastSave="{00000000-0000-0000-0000-000000000000}"/>
  <bookViews>
    <workbookView xWindow="-289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2027'!$A$1:$E$25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10-tillæg'!$A$1:$E$26</definedName>
    <definedName name="BlåBlok_51">'5.1.a. § 10-tillæg'!$A$1:$G$23</definedName>
    <definedName name="BlåBlok_52">'5.2. Varige tillæg'!$A$1:$G$20</definedName>
    <definedName name="BlåBlok_53">'5.3. Engangstillæg'!$A$1:$G$17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Engangstillæg'!$B$8:$F$15</definedName>
    <definedName name="EngTillæg_Tabel_Værdi">'5.3. Engangstillæg'!$B$15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10-tillæg'!$B$9:$B$11</definedName>
    <definedName name="PG10Tillæg_K_Tabel">'5.1. § 10-tillæg'!$B$8:$D$19</definedName>
    <definedName name="PG10Tillæg_K_Tabel_Total">'5.1. § 10-tillæg'!$B$19</definedName>
    <definedName name="PG10Tillæg_ØR_Tabel">'5.1. § 10-tillæg'!$B$21:$D$24</definedName>
    <definedName name="PG10Tillæg_ØR_Tabel_SletDrik">'5.1. § 10-tillæg'!$B$22:$D$22</definedName>
    <definedName name="PG10Tillæg_ØR_Tabel_Total">'5.1. § 10-tillæg'!$B$24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2027'!$A$1:$E$25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10-tillæg'!$A$1:$E$26</definedName>
    <definedName name="_xlnm.Print_Area" localSheetId="6">'5.1.a. § 10-tillæg'!$A$1:$G$23</definedName>
    <definedName name="_xlnm.Print_Area" localSheetId="7">'5.2. Varige tillæg'!$A$1:$G$20</definedName>
    <definedName name="_xlnm.Print_Area" localSheetId="8">'5.3. Engangstillæg'!$A$1:$G$17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tillæg'!$B$8:$F$18</definedName>
    <definedName name="VarigeTillæg_Tabel_KS">'5.2. Varige tillæg'!$B$16</definedName>
    <definedName name="VarigeTillæg_Tabel_SletSmå">'5.2. Varige tillæg'!$B$15:$F$15</definedName>
    <definedName name="VarigeTillæg_Tabel_Værdi">'5.2. Varige tillæg'!$B$14</definedName>
    <definedName name="VarigeTillæg_Tabel_Værdi_korr">'5.2. Varige tillæg'!$B$18</definedName>
    <definedName name="ØR_SidsteÅr_Tabel">'3. Omk. i ØR2026'!$B$8:$D$24</definedName>
    <definedName name="ØR_Tabel">'1. Økonomisk ramme 2027'!$B$8:$D$23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2027'!$B$23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5" i="10"/>
  <c r="C15" i="10"/>
  <c r="E14" i="9"/>
  <c r="E15" i="9" s="1"/>
  <c r="C14" i="9"/>
  <c r="C16" i="9" s="1"/>
  <c r="E19" i="8"/>
  <c r="E18" i="8"/>
  <c r="E17" i="8"/>
  <c r="E16" i="8"/>
  <c r="E15" i="8"/>
  <c r="E14" i="8"/>
  <c r="E13" i="8"/>
  <c r="E12" i="8"/>
  <c r="E11" i="8"/>
  <c r="C11" i="7" s="1"/>
  <c r="E10" i="8"/>
  <c r="C10" i="7" s="1"/>
  <c r="E9" i="8"/>
  <c r="C24" i="7"/>
  <c r="C18" i="3" s="1"/>
  <c r="C16" i="6"/>
  <c r="C13" i="3" l="1"/>
  <c r="C12" i="11"/>
  <c r="C19" i="3" s="1"/>
  <c r="C9" i="7"/>
  <c r="C19" i="7" s="1"/>
  <c r="C11" i="4" s="1"/>
  <c r="C12" i="4" s="1"/>
  <c r="C15" i="4" s="1"/>
  <c r="C19" i="4" s="1"/>
  <c r="C24" i="4" s="1"/>
  <c r="C16" i="12"/>
  <c r="C20" i="3" s="1"/>
  <c r="C12" i="3"/>
  <c r="C15" i="9"/>
  <c r="C17" i="9" s="1"/>
  <c r="C18" i="9" s="1"/>
  <c r="E16" i="9"/>
  <c r="E17" i="9" s="1"/>
  <c r="E18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3" i="3" s="1"/>
</calcChain>
</file>

<file path=xl/sharedStrings.xml><?xml version="1.0" encoding="utf-8"?>
<sst xmlns="http://schemas.openxmlformats.org/spreadsheetml/2006/main" count="333" uniqueCount="157">
  <si>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</si>
  <si>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</si>
  <si>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</si>
  <si>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</si>
  <si>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</si>
  <si>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</si>
  <si>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</si>
  <si>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</si>
  <si>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</si>
  <si>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</si>
  <si>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</si>
  <si>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</si>
  <si>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</si>
  <si>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</si>
  <si>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</si>
  <si>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</si>
  <si>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</si>
  <si>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</si>
  <si>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</si>
  <si>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</si>
  <si>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</si>
  <si>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</si>
  <si>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</si>
  <si>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</si>
  <si>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</si>
  <si>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</si>
  <si>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</si>
  <si>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</si>
  <si>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</si>
  <si>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</si>
  <si>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</si>
  <si>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</si>
  <si>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</si>
  <si>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</si>
  <si>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</si>
  <si>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</si>
  <si>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</si>
  <si>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</si>
  <si>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</si>
  <si>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</si>
  <si>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</si>
  <si>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</si>
  <si>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</si>
  <si>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</si>
  <si>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</si>
  <si>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</si>
  <si>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</si>
  <si>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</si>
  <si>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</si>
  <si>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medfinansieringsprojekter godkendt under prisloftsbek.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</si>
  <si>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</si>
  <si>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</si>
  <si>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</si>
  <si>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</si>
  <si>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</si>
  <si>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</si>
  <si>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</si>
  <si>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</si>
  <si>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</si>
  <si>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</si>
  <si>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</si>
  <si>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</si>
  <si>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</si>
  <si>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</si>
  <si>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</si>
  <si>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</si>
  <si>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</si>
  <si>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</si>
  <si>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</si>
  <si>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</si>
  <si>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</si>
  <si>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</si>
  <si>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</si>
  <si>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</si>
  <si>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</si>
  <si>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</si>
  <si>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</si>
  <si>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</si>
  <si>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</si>
  <si>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</si>
  <si>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</si>
  <si>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</si>
  <si>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</si>
  <si>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</si>
  <si>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</si>
  <si>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</si>
  <si>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</si>
  <si>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</si>
  <si>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</si>
  <si>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</si>
  <si>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</si>
  <si>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</si>
  <si>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</si>
  <si>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</si>
  <si>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</si>
  <si>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</si>
  <si>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</si>
  <si>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</si>
  <si>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</si>
  <si>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</si>
  <si>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</si>
  <si>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</si>
  <si>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</si>
  <si>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</si>
  <si>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</si>
  <si>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</si>
  <si>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</si>
  <si>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</si>
  <si>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</si>
  <si>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</si>
  <si>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</si>
  <si>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</si>
  <si>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</si>
  <si>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</si>
  <si>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</si>
  <si>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</si>
  <si>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</si>
  <si>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</si>
  <si>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</si>
  <si>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</si>
  <si>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</si>
  <si>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</si>
  <si>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</si>
  <si>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</si>
  <si>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</si>
  <si>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</si>
  <si>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</si>
  <si>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</si>
  <si>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</si>
  <si>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</si>
  <si>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</si>
  <si>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</si>
  <si>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</si>
  <si>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</si>
  <si>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</si>
  <si>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</si>
  <si>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Vandsektortilsynet</t>
  </si>
  <si>
    <t>Køb af ydelser og produkter fra andre vandselskaber reguleret af vandsektorloven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</si>
  <si>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</si>
  <si>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</si>
  <si>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</si>
  <si>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</si>
  <si>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</si>
  <si>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</si>
  <si>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</si>
  <si>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</si>
  <si>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Gebyr til Miljøstyrelsen</t>
  </si>
  <si>
    <t>Engangsfradrag som følge af korrigerede oplysninger (§ 49)</t>
  </si>
  <si>
    <t>Udvikling - Masterplanner Harrestrup Å</t>
  </si>
  <si>
    <t>Letbane Ring 3</t>
  </si>
  <si>
    <t>Byudvikling Kirkebjerg</t>
  </si>
  <si>
    <t>Øget indbyggerantal</t>
  </si>
  <si>
    <t>Finansieringsomkostninger Letbanen 2024</t>
  </si>
  <si>
    <t>Finansieringsomkostninger Sportsbyen</t>
  </si>
  <si>
    <t>Periodevise driftsomkostninger - opr. 2 bassiner</t>
  </si>
  <si>
    <t>Note: En positiv saldo på differencekontoen angiver, at I (vandselskabet) har takstmidler til gode hos forbrugerne. En negativ saldo angiver omvendt, at forbrugerne har takstmidler til gode hos jer.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</si>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</sst>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1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ColWidth="8.7109375"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L98RRLeJV46f5IE1ErvZ2P+G64hlhR5YDIyS0PbEs6Ze1oR8qlyZ+AYUNTVioAhLWYO8yP/Zcd3C7iJ+Pa3aVg==" saltValue="a93UWofBDAZdW6+gsTppQg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5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39236229.327285469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tillæg'!C18+'5.2. Varige tillæg'!E18</f>
        <v>458471.42376240948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-124370.34529999999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-697902.62229676079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-150426.68414336009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1119065.8317699945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39841066.931077763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10-tillæg'!C24</f>
        <v>9983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272557.24658612814</v>
      </c>
      <c r="D19" s="39" t="s">
        <v>31</v>
      </c>
      <c r="E19" s="11"/>
    </row>
    <row r="20" spans="1:5" ht="15" customHeight="1" x14ac:dyDescent="0.25">
      <c r="A20" s="11"/>
      <c r="B20" s="28" t="s">
        <v>22</v>
      </c>
      <c r="C20" s="34">
        <f>'5.5. Korr. af ØR2025'!C16</f>
        <v>-19602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-2049576</v>
      </c>
      <c r="D21" s="39" t="s">
        <v>31</v>
      </c>
      <c r="E21" s="11"/>
    </row>
    <row r="22" spans="1:5" ht="15" customHeight="1" x14ac:dyDescent="0.25">
      <c r="A22" s="11"/>
      <c r="B22" s="38" t="s">
        <v>147</v>
      </c>
      <c r="C22" s="34">
        <v>-122177</v>
      </c>
      <c r="D22" s="39" t="s">
        <v>31</v>
      </c>
      <c r="E22" s="11"/>
    </row>
    <row r="23" spans="1:5" ht="15" customHeight="1" x14ac:dyDescent="0.25">
      <c r="A23" s="11"/>
      <c r="B23" s="25" t="s">
        <v>4</v>
      </c>
      <c r="C23" s="41">
        <f>SUM(C17:C22)</f>
        <v>37932252.177663893</v>
      </c>
      <c r="D23" s="27" t="s">
        <v>31</v>
      </c>
      <c r="E23" s="11"/>
    </row>
    <row r="24" spans="1:5" ht="15" customHeight="1" x14ac:dyDescent="0.25">
      <c r="A24" s="11"/>
      <c r="B24" s="11"/>
      <c r="C24" s="11"/>
      <c r="D24" s="11"/>
      <c r="E24" s="11"/>
    </row>
    <row r="25" spans="1:5" ht="15" customHeight="1" x14ac:dyDescent="0.25">
      <c r="A25" s="11"/>
      <c r="B25" s="11"/>
      <c r="C25" s="11"/>
      <c r="D25" s="11"/>
      <c r="E25" s="11"/>
    </row>
  </sheetData>
  <sheetProtection algorithmName="SHA-512" hashValue="vcy4t7tK8QMTqiRaSrwDMCmEU/wsfPzPFsH7sQgQHMYdlZjYCNXF13FlFhxsOLBHj7imRsIjlQhwvgOdc2eLFw==" saltValue="X/TL4Hjkm8Yh5cszJWC3rw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71.42578125" style="12" customWidth="1"/>
    <col min="3" max="3" width="12.42578125" style="12" customWidth="1"/>
    <col min="4" max="4" width="3.140625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82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83</v>
      </c>
      <c r="C8" s="26"/>
      <c r="D8" s="27"/>
      <c r="E8" s="11"/>
    </row>
    <row r="9" spans="1:5" ht="15" customHeight="1" x14ac:dyDescent="0.25">
      <c r="A9" s="11"/>
      <c r="B9" s="44" t="s">
        <v>127</v>
      </c>
      <c r="C9" s="45">
        <v>56282103</v>
      </c>
      <c r="D9" s="46" t="s">
        <v>31</v>
      </c>
      <c r="E9" s="11"/>
    </row>
    <row r="10" spans="1:5" ht="15" customHeight="1" x14ac:dyDescent="0.25">
      <c r="A10" s="11"/>
      <c r="B10" s="44" t="s">
        <v>129</v>
      </c>
      <c r="C10" s="45">
        <f>'3. Omk. i ØR2026'!C10</f>
        <v>70196.027289679856</v>
      </c>
      <c r="D10" s="46" t="s">
        <v>31</v>
      </c>
      <c r="E10" s="11"/>
    </row>
    <row r="11" spans="1:5" ht="15" customHeight="1" x14ac:dyDescent="0.25">
      <c r="A11" s="11"/>
      <c r="B11" s="44" t="s">
        <v>130</v>
      </c>
      <c r="C11" s="47">
        <f>'5.1. § 10-tillæg'!C19+'5.2. Varige tillæg'!C14+'5.2. Varige tillæg'!E14+'5.3. Engangstillæg'!C15+'5.3. Engangstillæg'!E15</f>
        <v>6203380.9956099102</v>
      </c>
      <c r="D11" s="46" t="s">
        <v>31</v>
      </c>
      <c r="E11" s="11"/>
    </row>
    <row r="12" spans="1:5" ht="15" customHeight="1" x14ac:dyDescent="0.25">
      <c r="A12" s="11"/>
      <c r="B12" s="35" t="s">
        <v>128</v>
      </c>
      <c r="C12" s="36">
        <f>C9+C10+C11</f>
        <v>62555680.02289959</v>
      </c>
      <c r="D12" s="37" t="s">
        <v>31</v>
      </c>
      <c r="E12" s="11"/>
    </row>
    <row r="13" spans="1:5" ht="15" customHeight="1" x14ac:dyDescent="0.25">
      <c r="A13" s="11"/>
      <c r="B13" s="44" t="s">
        <v>84</v>
      </c>
      <c r="C13" s="45">
        <v>56664489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131</v>
      </c>
      <c r="C15" s="41">
        <f>C12-C13</f>
        <v>5891191.0228995904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85</v>
      </c>
      <c r="C17" s="26"/>
      <c r="D17" s="27"/>
      <c r="E17" s="11"/>
    </row>
    <row r="18" spans="1:5" ht="15" customHeight="1" x14ac:dyDescent="0.25">
      <c r="A18" s="11"/>
      <c r="B18" s="44" t="s">
        <v>126</v>
      </c>
      <c r="C18" s="45">
        <v>1099569</v>
      </c>
      <c r="D18" s="46" t="s">
        <v>31</v>
      </c>
      <c r="E18" s="11"/>
    </row>
    <row r="19" spans="1:5" ht="15" customHeight="1" x14ac:dyDescent="0.25">
      <c r="A19" s="11"/>
      <c r="B19" s="25" t="s">
        <v>140</v>
      </c>
      <c r="C19" s="41">
        <f>C15+C18</f>
        <v>6990760.0228995904</v>
      </c>
      <c r="D19" s="27" t="s">
        <v>31</v>
      </c>
      <c r="E19" s="11"/>
    </row>
    <row r="20" spans="1:5" ht="28.5" customHeight="1" x14ac:dyDescent="0.25">
      <c r="A20" s="11"/>
      <c r="B20" s="49" t="s">
        <v>155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141</v>
      </c>
      <c r="C22" s="26"/>
      <c r="D22" s="27"/>
      <c r="E22" s="11"/>
    </row>
    <row r="23" spans="1:5" ht="15" customHeight="1" x14ac:dyDescent="0.25">
      <c r="A23" s="11"/>
      <c r="B23" s="52" t="s">
        <v>142</v>
      </c>
      <c r="C23" s="53">
        <f>100*1099569/(57208818+1752168)</f>
        <v>1.8649094504627179</v>
      </c>
      <c r="D23" s="46" t="s">
        <v>143</v>
      </c>
      <c r="E23" s="11"/>
    </row>
    <row r="24" spans="1:5" ht="15" customHeight="1" x14ac:dyDescent="0.25">
      <c r="A24" s="11"/>
      <c r="B24" s="52" t="s">
        <v>144</v>
      </c>
      <c r="C24" s="53">
        <f>C19/C12*100</f>
        <v>11.175260216722927</v>
      </c>
      <c r="D24" s="46" t="s">
        <v>143</v>
      </c>
      <c r="E24" s="11"/>
    </row>
    <row r="25" spans="1:5" ht="56.25" customHeight="1" x14ac:dyDescent="0.25">
      <c r="A25" s="11"/>
      <c r="B25" s="49" t="s">
        <v>145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UN77QUnj6UO9loCK+cqc1LW5cjApCH8Bqz3s+0mkvGg4aQVQMew855/jM5oyVvZdL9NxblE1yhAWN/jDpkOl0w==" saltValue="BRAKXQ5M3MLvQ9iFwLZp3Q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86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134</v>
      </c>
      <c r="C8" s="57"/>
      <c r="D8" s="58"/>
      <c r="E8" s="54"/>
    </row>
    <row r="9" spans="1:5" ht="15" customHeight="1" x14ac:dyDescent="0.25">
      <c r="A9" s="54"/>
      <c r="B9" s="59" t="s">
        <v>121</v>
      </c>
      <c r="C9" s="60">
        <v>38899058.560384706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70196.027289679856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-687301.43738545734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-147800.82519857754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1102077.0021951112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39236229.327285469</v>
      </c>
      <c r="D17" s="68" t="s">
        <v>31</v>
      </c>
      <c r="E17" s="54"/>
    </row>
    <row r="18" spans="1:5" ht="15" customHeight="1" x14ac:dyDescent="0.25">
      <c r="A18" s="54"/>
      <c r="B18" s="69" t="s">
        <v>122</v>
      </c>
      <c r="C18" s="65">
        <v>9836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278263.22565981431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0</v>
      </c>
      <c r="D20" s="74" t="s">
        <v>31</v>
      </c>
      <c r="E20" s="54"/>
    </row>
    <row r="21" spans="1:5" ht="15" customHeight="1" x14ac:dyDescent="0.25">
      <c r="A21" s="54"/>
      <c r="B21" s="59" t="s">
        <v>123</v>
      </c>
      <c r="C21" s="65">
        <v>-19459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0</v>
      </c>
      <c r="D22" s="70" t="s">
        <v>31</v>
      </c>
      <c r="E22" s="54"/>
    </row>
    <row r="23" spans="1:5" ht="15" customHeight="1" x14ac:dyDescent="0.25">
      <c r="A23" s="54"/>
      <c r="B23" s="56" t="s">
        <v>156</v>
      </c>
      <c r="C23" s="75">
        <v>39504869.552945286</v>
      </c>
      <c r="D23" s="58" t="s">
        <v>31</v>
      </c>
      <c r="E23" s="54"/>
    </row>
    <row r="24" spans="1:5" ht="30" customHeight="1" x14ac:dyDescent="0.25">
      <c r="A24" s="54"/>
      <c r="B24" s="76" t="s">
        <v>135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uyuYm6dSH7+tHzIJEPY4YFCFou/cO8U6txdXdkBMZiCLF1HoeYRTkDLrEqPnTOSR032LA6yzjG80K1qQiA8ZeA==" saltValue="eu/WgTdgO1vhs+M4MO5GIQ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87</v>
      </c>
      <c r="C8" s="81"/>
      <c r="D8" s="82"/>
      <c r="E8" s="11"/>
    </row>
    <row r="9" spans="1:5" ht="15" customHeight="1" x14ac:dyDescent="0.25">
      <c r="A9" s="11"/>
      <c r="B9" s="52" t="s">
        <v>88</v>
      </c>
      <c r="C9" s="2">
        <v>7603613.4523408208</v>
      </c>
      <c r="D9" s="46" t="s">
        <v>31</v>
      </c>
      <c r="E9" s="11"/>
    </row>
    <row r="10" spans="1:5" ht="15" customHeight="1" x14ac:dyDescent="0.25">
      <c r="A10" s="11"/>
      <c r="B10" s="83" t="s">
        <v>89</v>
      </c>
      <c r="C10" s="3">
        <f>-'8. Nøgletal'!C19*C9</f>
        <v>-152072.26904681642</v>
      </c>
      <c r="D10" s="46" t="s">
        <v>31</v>
      </c>
      <c r="E10" s="11"/>
    </row>
    <row r="11" spans="1:5" ht="15" customHeight="1" x14ac:dyDescent="0.25">
      <c r="A11" s="11"/>
      <c r="B11" s="83" t="s">
        <v>90</v>
      </c>
      <c r="C11" s="2">
        <f>('5.2. Varige tillæg'!C14)*(1+'8. Nøgletal'!C9)*(1-'8. Nøgletal'!C19)+'5.6 Anlægsprojekter'!C12-'6. Bortfald'!C12+'7. Tilknyttet virksomhed'!C12</f>
        <v>69793.023873999991</v>
      </c>
      <c r="D11" s="46" t="s">
        <v>31</v>
      </c>
      <c r="E11" s="11"/>
    </row>
    <row r="12" spans="1:5" ht="15" customHeight="1" x14ac:dyDescent="0.25">
      <c r="A12" s="11"/>
      <c r="B12" s="52" t="s">
        <v>91</v>
      </c>
      <c r="C12" s="2">
        <f>SUM(C9:C11)</f>
        <v>7521334.2071680045</v>
      </c>
      <c r="D12" s="46" t="s">
        <v>31</v>
      </c>
      <c r="E12" s="11"/>
    </row>
    <row r="13" spans="1:5" ht="15" customHeight="1" x14ac:dyDescent="0.25">
      <c r="A13" s="11"/>
      <c r="B13" s="84" t="s">
        <v>92</v>
      </c>
      <c r="C13" s="85">
        <f>-C12*'8. Nøgletal'!C19</f>
        <v>-150426.68414336009</v>
      </c>
      <c r="D13" s="86" t="s">
        <v>31</v>
      </c>
      <c r="E13" s="87"/>
    </row>
    <row r="14" spans="1:5" ht="15" customHeight="1" x14ac:dyDescent="0.25">
      <c r="A14" s="11"/>
      <c r="B14" s="80" t="s">
        <v>93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38266261.563325748</v>
      </c>
      <c r="D15" s="46" t="s">
        <v>31</v>
      </c>
      <c r="E15" s="11"/>
    </row>
    <row r="16" spans="1:5" ht="15" customHeight="1" x14ac:dyDescent="0.25">
      <c r="A16" s="11"/>
      <c r="B16" s="83" t="s">
        <v>89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94</v>
      </c>
      <c r="C17" s="2">
        <f>('5.2. Varige tillæg'!E14)*(1+'8. Nøgletal'!C9)*(1-'8. Nøgletal'!C14)+'5.6 Anlægsprojekter'!E12-'6. Bortfald'!E12+'7. Tilknyttet virksomhed'!E12</f>
        <v>272564.8701</v>
      </c>
      <c r="D17" s="46" t="s">
        <v>31</v>
      </c>
      <c r="E17" s="11"/>
    </row>
    <row r="18" spans="1:5" ht="15" customHeight="1" x14ac:dyDescent="0.25">
      <c r="A18" s="11"/>
      <c r="B18" s="52" t="s">
        <v>95</v>
      </c>
      <c r="C18" s="2">
        <f>SUM(C15:C17)</f>
        <v>38538826.433425747</v>
      </c>
      <c r="D18" s="46" t="s">
        <v>31</v>
      </c>
      <c r="E18" s="11"/>
    </row>
    <row r="19" spans="1:5" ht="15" customHeight="1" x14ac:dyDescent="0.25">
      <c r="A19" s="11"/>
      <c r="B19" s="84" t="s">
        <v>96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97</v>
      </c>
      <c r="C20" s="41">
        <f>C13+C19</f>
        <v>-150426.68414336009</v>
      </c>
      <c r="D20" s="27" t="s">
        <v>31</v>
      </c>
      <c r="E20" s="11"/>
    </row>
    <row r="21" spans="1:5" ht="39.950000000000003" customHeight="1" x14ac:dyDescent="0.25">
      <c r="A21" s="11"/>
      <c r="B21" s="88" t="s">
        <v>124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DV9nKGBQ/7WA1hxD6F2rlxF40VLapPVUUfTTF7DZBeK68xU0cHtA+A+qFum/bE9omv0jUPAkilTZDghkRhn5ow==" saltValue="28pD+oPxg3EkiRvCatjQuQ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6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98</v>
      </c>
      <c r="C8" s="92"/>
      <c r="D8" s="93"/>
      <c r="E8" s="11"/>
    </row>
    <row r="9" spans="1:5" ht="15" customHeight="1" x14ac:dyDescent="0.25">
      <c r="A9" s="11"/>
      <c r="B9" s="94" t="s">
        <v>136</v>
      </c>
      <c r="C9" s="33">
        <f>'5.1.a. § 10-tillæg'!E9</f>
        <v>5548.9486932900036</v>
      </c>
      <c r="D9" s="46" t="s">
        <v>31</v>
      </c>
      <c r="E9" s="11"/>
    </row>
    <row r="10" spans="1:5" ht="15" customHeight="1" x14ac:dyDescent="0.25">
      <c r="A10" s="11"/>
      <c r="B10" s="94" t="s">
        <v>137</v>
      </c>
      <c r="C10" s="33">
        <f>'5.1.a. § 10-tillæg'!E10</f>
        <v>5063391.4631888699</v>
      </c>
      <c r="D10" s="46" t="s">
        <v>31</v>
      </c>
      <c r="E10" s="11"/>
    </row>
    <row r="11" spans="1:5" ht="15" customHeight="1" x14ac:dyDescent="0.25">
      <c r="A11" s="11"/>
      <c r="B11" s="94" t="s">
        <v>138</v>
      </c>
      <c r="C11" s="33">
        <f>'5.1.a. § 10-tillæg'!E11</f>
        <v>8325.5837277499995</v>
      </c>
      <c r="D11" s="46" t="s">
        <v>31</v>
      </c>
      <c r="E11" s="11"/>
    </row>
    <row r="12" spans="1:5" ht="15" customHeight="1" x14ac:dyDescent="0.25">
      <c r="A12" s="11"/>
      <c r="B12" s="95" t="s">
        <v>146</v>
      </c>
      <c r="C12" s="96">
        <v>46389</v>
      </c>
      <c r="D12" s="46" t="s">
        <v>31</v>
      </c>
      <c r="E12" s="11"/>
    </row>
    <row r="13" spans="1:5" ht="15" customHeight="1" x14ac:dyDescent="0.25">
      <c r="A13" s="11"/>
      <c r="B13" s="95"/>
      <c r="C13" s="96"/>
      <c r="D13" s="46" t="s">
        <v>31</v>
      </c>
      <c r="E13" s="11"/>
    </row>
    <row r="14" spans="1:5" ht="15" customHeight="1" x14ac:dyDescent="0.25">
      <c r="A14" s="11"/>
      <c r="B14" s="95"/>
      <c r="C14" s="96"/>
      <c r="D14" s="46" t="s">
        <v>31</v>
      </c>
      <c r="E14" s="11"/>
    </row>
    <row r="15" spans="1:5" ht="15" customHeight="1" x14ac:dyDescent="0.25">
      <c r="A15" s="11"/>
      <c r="B15" s="95"/>
      <c r="C15" s="96"/>
      <c r="D15" s="46" t="s">
        <v>31</v>
      </c>
      <c r="E15" s="11"/>
    </row>
    <row r="16" spans="1:5" ht="15" customHeight="1" x14ac:dyDescent="0.25">
      <c r="A16" s="11"/>
      <c r="B16" s="95"/>
      <c r="C16" s="96"/>
      <c r="D16" s="46" t="s">
        <v>31</v>
      </c>
      <c r="E16" s="11"/>
    </row>
    <row r="17" spans="1:5" ht="15" customHeight="1" x14ac:dyDescent="0.25">
      <c r="A17" s="11"/>
      <c r="B17" s="95"/>
      <c r="C17" s="96"/>
      <c r="D17" s="46" t="s">
        <v>31</v>
      </c>
      <c r="E17" s="11"/>
    </row>
    <row r="18" spans="1:5" ht="15" customHeight="1" x14ac:dyDescent="0.25">
      <c r="A18" s="11"/>
      <c r="B18" s="95"/>
      <c r="C18" s="96"/>
      <c r="D18" s="46" t="s">
        <v>31</v>
      </c>
      <c r="E18" s="11"/>
    </row>
    <row r="19" spans="1:5" ht="15" customHeight="1" x14ac:dyDescent="0.25">
      <c r="A19" s="11"/>
      <c r="B19" s="25" t="s">
        <v>48</v>
      </c>
      <c r="C19" s="97">
        <f>SUM(C9:C18)</f>
        <v>5123654.9956099102</v>
      </c>
      <c r="D19" s="98" t="s">
        <v>31</v>
      </c>
      <c r="E19" s="11"/>
    </row>
    <row r="20" spans="1:5" ht="15" customHeight="1" x14ac:dyDescent="0.25">
      <c r="A20" s="11"/>
      <c r="B20" s="99"/>
      <c r="C20" s="100"/>
      <c r="D20" s="100"/>
      <c r="E20" s="11"/>
    </row>
    <row r="21" spans="1:5" ht="15" customHeight="1" x14ac:dyDescent="0.25">
      <c r="A21" s="11"/>
      <c r="B21" s="80" t="s">
        <v>39</v>
      </c>
      <c r="C21" s="81"/>
      <c r="D21" s="82"/>
      <c r="E21" s="11"/>
    </row>
    <row r="22" spans="1:5" ht="15" customHeight="1" x14ac:dyDescent="0.25">
      <c r="A22" s="11"/>
      <c r="B22" s="101" t="s">
        <v>49</v>
      </c>
      <c r="C22" s="33">
        <v>9983</v>
      </c>
      <c r="D22" s="46" t="s">
        <v>31</v>
      </c>
      <c r="E22" s="11"/>
    </row>
    <row r="23" spans="1:5" ht="15" customHeight="1" x14ac:dyDescent="0.25">
      <c r="A23" s="11"/>
      <c r="B23" s="101" t="s">
        <v>50</v>
      </c>
      <c r="C23" s="33">
        <v>0</v>
      </c>
      <c r="D23" s="46" t="s">
        <v>31</v>
      </c>
      <c r="E23" s="11"/>
    </row>
    <row r="24" spans="1:5" ht="15" customHeight="1" x14ac:dyDescent="0.25">
      <c r="A24" s="11"/>
      <c r="B24" s="25" t="s">
        <v>48</v>
      </c>
      <c r="C24" s="97">
        <f>SUM(C22:C23)</f>
        <v>9983</v>
      </c>
      <c r="D24" s="98" t="s">
        <v>31</v>
      </c>
      <c r="E24" s="11"/>
    </row>
    <row r="25" spans="1:5" ht="15" customHeight="1" x14ac:dyDescent="0.25">
      <c r="A25" s="11"/>
      <c r="B25" s="11"/>
      <c r="C25" s="11"/>
      <c r="D25" s="11"/>
      <c r="E25" s="11"/>
    </row>
    <row r="26" spans="1:5" ht="15" customHeight="1" x14ac:dyDescent="0.25">
      <c r="A26" s="11"/>
      <c r="B26" s="11"/>
      <c r="C26" s="11"/>
      <c r="D26" s="11"/>
      <c r="E26" s="11"/>
    </row>
  </sheetData>
  <sheetProtection algorithmName="SHA-512" hashValue="R7DNoxtEansRYtb8XpAVeo2D74zXw2z/NOjuW4USC+lLfu9kmyzNDiH4owWLQufg3jpKrp3mgzdX1KEjcXgHyw==" saltValue="eX8u7PexjGx+dkA2ilGxhw==" spinCount="100000" sheet="1" objects="1" scenarios="1"/>
  <mergeCells count="3">
    <mergeCell ref="B3:D5"/>
    <mergeCell ref="B8:D8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8.710937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99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2" t="s">
        <v>125</v>
      </c>
      <c r="C8" s="103" t="s">
        <v>100</v>
      </c>
      <c r="D8" s="104" t="s">
        <v>101</v>
      </c>
      <c r="E8" s="104" t="s">
        <v>102</v>
      </c>
      <c r="F8" s="27"/>
      <c r="G8" s="11"/>
    </row>
    <row r="9" spans="1:7" ht="15" customHeight="1" x14ac:dyDescent="0.25">
      <c r="A9" s="11"/>
      <c r="B9" s="94" t="s">
        <v>136</v>
      </c>
      <c r="C9" s="33">
        <v>87502.051306709996</v>
      </c>
      <c r="D9" s="33">
        <v>93051</v>
      </c>
      <c r="E9" s="33">
        <f>MAX(D9-C9,0)</f>
        <v>5548.9486932900036</v>
      </c>
      <c r="F9" s="46" t="s">
        <v>31</v>
      </c>
      <c r="G9" s="11"/>
    </row>
    <row r="10" spans="1:7" ht="39" customHeight="1" x14ac:dyDescent="0.25">
      <c r="A10" s="11"/>
      <c r="B10" s="94" t="s">
        <v>137</v>
      </c>
      <c r="C10" s="33">
        <v>16332689.53681113</v>
      </c>
      <c r="D10" s="33">
        <v>21396081</v>
      </c>
      <c r="E10" s="33">
        <f t="shared" ref="E10:E19" si="0">MAX(D10-C10,0)</f>
        <v>5063391.4631888699</v>
      </c>
      <c r="F10" s="46" t="s">
        <v>31</v>
      </c>
      <c r="G10" s="11"/>
    </row>
    <row r="11" spans="1:7" ht="15" customHeight="1" x14ac:dyDescent="0.25">
      <c r="A11" s="11"/>
      <c r="B11" s="94" t="s">
        <v>138</v>
      </c>
      <c r="C11" s="33">
        <v>2302.41627225</v>
      </c>
      <c r="D11" s="33">
        <v>10628</v>
      </c>
      <c r="E11" s="33">
        <f t="shared" si="0"/>
        <v>8325.5837277499995</v>
      </c>
      <c r="F11" s="46" t="s">
        <v>31</v>
      </c>
      <c r="G11" s="11"/>
    </row>
    <row r="12" spans="1:7" ht="15" hidden="1" customHeight="1" x14ac:dyDescent="0.25">
      <c r="A12" s="11"/>
      <c r="B12" s="94"/>
      <c r="C12" s="33"/>
      <c r="D12" s="33"/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5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5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5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5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5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5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5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49" t="s">
        <v>103</v>
      </c>
      <c r="C21" s="50"/>
      <c r="D21" s="50"/>
      <c r="E21" s="50"/>
      <c r="F21" s="51"/>
      <c r="G21" s="11"/>
    </row>
    <row r="22" spans="1:7" ht="15" customHeight="1" x14ac:dyDescent="0.25">
      <c r="A22" s="11"/>
      <c r="B22" s="105"/>
      <c r="C22" s="100"/>
      <c r="D22" s="100"/>
      <c r="E22" s="100"/>
      <c r="F22" s="100"/>
      <c r="G22" s="11"/>
    </row>
    <row r="23" spans="1:7" ht="15" customHeight="1" x14ac:dyDescent="0.25">
      <c r="A23" s="11"/>
      <c r="B23" s="105"/>
      <c r="C23" s="100"/>
      <c r="D23" s="100"/>
      <c r="E23" s="100"/>
      <c r="F23" s="100"/>
      <c r="G23" s="11"/>
    </row>
  </sheetData>
  <sheetProtection algorithmName="SHA-512" hashValue="mhDG8yClzT3yaXjWLOnUWblZbQony4MueGozo2+Vw0UB3YK1v22Mz5ebu35YRqy7ITmdjBTkBFh1/7WCk+EDVw==" saltValue="4xHlAeRyyxBQzl6vqSUufg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0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8.710937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06" t="s">
        <v>52</v>
      </c>
      <c r="C9" s="35" t="s">
        <v>53</v>
      </c>
      <c r="D9" s="107"/>
      <c r="E9" s="35" t="s">
        <v>54</v>
      </c>
      <c r="F9" s="108"/>
      <c r="G9" s="11"/>
    </row>
    <row r="10" spans="1:7" ht="15" customHeight="1" x14ac:dyDescent="0.25">
      <c r="A10" s="11"/>
      <c r="B10" s="109" t="s">
        <v>149</v>
      </c>
      <c r="C10" s="33">
        <v>0</v>
      </c>
      <c r="D10" s="46" t="s">
        <v>31</v>
      </c>
      <c r="E10" s="33">
        <v>41135</v>
      </c>
      <c r="F10" s="46" t="s">
        <v>31</v>
      </c>
      <c r="G10" s="11"/>
    </row>
    <row r="11" spans="1:7" ht="15" customHeight="1" x14ac:dyDescent="0.25">
      <c r="A11" s="11"/>
      <c r="B11" s="109" t="s">
        <v>150</v>
      </c>
      <c r="C11" s="33">
        <v>0</v>
      </c>
      <c r="D11" s="46" t="s">
        <v>31</v>
      </c>
      <c r="E11" s="33">
        <v>344651</v>
      </c>
      <c r="F11" s="46" t="s">
        <v>31</v>
      </c>
      <c r="G11" s="11"/>
    </row>
    <row r="12" spans="1:7" ht="15" customHeight="1" x14ac:dyDescent="0.25">
      <c r="A12" s="11"/>
      <c r="B12" s="109" t="s">
        <v>151</v>
      </c>
      <c r="C12" s="33">
        <v>49385</v>
      </c>
      <c r="D12" s="46" t="s">
        <v>31</v>
      </c>
      <c r="E12" s="33">
        <v>0</v>
      </c>
      <c r="F12" s="46" t="s">
        <v>31</v>
      </c>
      <c r="G12" s="11"/>
    </row>
    <row r="13" spans="1:7" ht="15" customHeight="1" x14ac:dyDescent="0.25">
      <c r="A13" s="11"/>
      <c r="B13" s="109" t="s">
        <v>154</v>
      </c>
      <c r="C13" s="33">
        <v>19832</v>
      </c>
      <c r="D13" s="46" t="s">
        <v>31</v>
      </c>
      <c r="E13" s="33">
        <v>0</v>
      </c>
      <c r="F13" s="46" t="s">
        <v>31</v>
      </c>
      <c r="G13" s="11"/>
    </row>
    <row r="14" spans="1:7" ht="15" customHeight="1" x14ac:dyDescent="0.25">
      <c r="A14" s="11"/>
      <c r="B14" s="25" t="s">
        <v>104</v>
      </c>
      <c r="C14" s="97">
        <f>SUM(C10:C13)</f>
        <v>69217</v>
      </c>
      <c r="D14" s="98" t="s">
        <v>31</v>
      </c>
      <c r="E14" s="97">
        <f>SUM(E10:E13)</f>
        <v>385786</v>
      </c>
      <c r="F14" s="98" t="s">
        <v>31</v>
      </c>
      <c r="G14" s="11"/>
    </row>
    <row r="15" spans="1:7" ht="15" customHeight="1" x14ac:dyDescent="0.25">
      <c r="A15" s="11"/>
      <c r="B15" s="109" t="s">
        <v>35</v>
      </c>
      <c r="C15" s="33">
        <f>-C14*'8. Nøgletal'!C23</f>
        <v>-1220.7814620748777</v>
      </c>
      <c r="D15" s="46" t="s">
        <v>31</v>
      </c>
      <c r="E15" s="33">
        <f>-E14*'8. Nøgletal'!C23</f>
        <v>-6804.1145546328044</v>
      </c>
      <c r="F15" s="46" t="s">
        <v>31</v>
      </c>
      <c r="G15" s="11"/>
    </row>
    <row r="16" spans="1:7" ht="15" customHeight="1" x14ac:dyDescent="0.25">
      <c r="A16" s="11"/>
      <c r="B16" s="109" t="s">
        <v>36</v>
      </c>
      <c r="C16" s="33">
        <f>-C14*'8. Nøgletal'!C19</f>
        <v>-1384.34</v>
      </c>
      <c r="D16" s="46" t="s">
        <v>31</v>
      </c>
      <c r="E16" s="33">
        <f>-E14*'8. Nøgletal'!C14</f>
        <v>0</v>
      </c>
      <c r="F16" s="46" t="s">
        <v>31</v>
      </c>
      <c r="G16" s="11"/>
    </row>
    <row r="17" spans="1:7" ht="15" customHeight="1" x14ac:dyDescent="0.25">
      <c r="A17" s="11"/>
      <c r="B17" s="109" t="s">
        <v>37</v>
      </c>
      <c r="C17" s="33">
        <f>SUM(C14:C16)*'8. Nøgletal'!C9</f>
        <v>1925.0832897460359</v>
      </c>
      <c r="D17" s="46" t="s">
        <v>31</v>
      </c>
      <c r="E17" s="33">
        <f>SUM(E14:E16)*'8. Nøgletal'!C9</f>
        <v>10952.576489371111</v>
      </c>
      <c r="F17" s="46" t="s">
        <v>31</v>
      </c>
      <c r="G17" s="11"/>
    </row>
    <row r="18" spans="1:7" ht="26.25" customHeight="1" x14ac:dyDescent="0.25">
      <c r="A18" s="11"/>
      <c r="B18" s="102" t="s">
        <v>105</v>
      </c>
      <c r="C18" s="97">
        <f>SUM(C14:C17)</f>
        <v>68536.961827671155</v>
      </c>
      <c r="D18" s="98" t="s">
        <v>31</v>
      </c>
      <c r="E18" s="97">
        <f>SUM(E14:E17)</f>
        <v>389934.46193473833</v>
      </c>
      <c r="F18" s="98" t="s">
        <v>31</v>
      </c>
      <c r="G18" s="11"/>
    </row>
    <row r="19" spans="1:7" ht="15" customHeight="1" x14ac:dyDescent="0.25">
      <c r="A19" s="11"/>
      <c r="B19" s="11"/>
      <c r="C19" s="11"/>
      <c r="D19" s="11"/>
      <c r="E19" s="11"/>
      <c r="F19" s="11"/>
      <c r="G19" s="11"/>
    </row>
    <row r="20" spans="1:7" ht="15" customHeight="1" x14ac:dyDescent="0.25">
      <c r="A20" s="11"/>
      <c r="B20" s="11"/>
      <c r="C20" s="11"/>
      <c r="D20" s="11"/>
      <c r="E20" s="11"/>
      <c r="F20" s="11"/>
      <c r="G20" s="11"/>
    </row>
  </sheetData>
  <sheetProtection algorithmName="SHA-512" hashValue="Xdp0e8HqWK1PuWd9t4H/qp6etqZTNli2JWhvR9mqrpPXPtF8503x8EmUR1qtnZvNjazVzjeywfRI/ja0NpgduQ==" saltValue="B55bUUlpbXOANlx0IleOUg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7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8.710937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06" t="s">
        <v>52</v>
      </c>
      <c r="C9" s="35" t="s">
        <v>53</v>
      </c>
      <c r="D9" s="107"/>
      <c r="E9" s="35" t="s">
        <v>54</v>
      </c>
      <c r="F9" s="108"/>
      <c r="G9" s="11"/>
    </row>
    <row r="10" spans="1:7" ht="15" customHeight="1" x14ac:dyDescent="0.25">
      <c r="A10" s="11"/>
      <c r="B10" s="109" t="s">
        <v>152</v>
      </c>
      <c r="C10" s="33">
        <v>0</v>
      </c>
      <c r="D10" s="46" t="s">
        <v>31</v>
      </c>
      <c r="E10" s="33">
        <v>9691</v>
      </c>
      <c r="F10" s="46" t="s">
        <v>31</v>
      </c>
      <c r="G10" s="11"/>
    </row>
    <row r="11" spans="1:7" ht="15" customHeight="1" x14ac:dyDescent="0.25">
      <c r="A11" s="11"/>
      <c r="B11" s="109" t="s">
        <v>149</v>
      </c>
      <c r="C11" s="33">
        <v>0</v>
      </c>
      <c r="D11" s="46" t="s">
        <v>31</v>
      </c>
      <c r="E11" s="33">
        <v>44376</v>
      </c>
      <c r="F11" s="46" t="s">
        <v>31</v>
      </c>
      <c r="G11" s="11"/>
    </row>
    <row r="12" spans="1:7" ht="15" customHeight="1" x14ac:dyDescent="0.25">
      <c r="A12" s="11"/>
      <c r="B12" s="109" t="s">
        <v>150</v>
      </c>
      <c r="C12" s="33">
        <v>0</v>
      </c>
      <c r="D12" s="46" t="s">
        <v>31</v>
      </c>
      <c r="E12" s="33">
        <v>247870</v>
      </c>
      <c r="F12" s="46" t="s">
        <v>31</v>
      </c>
      <c r="G12" s="11"/>
    </row>
    <row r="13" spans="1:7" ht="15" customHeight="1" x14ac:dyDescent="0.25">
      <c r="A13" s="11"/>
      <c r="B13" s="109" t="s">
        <v>153</v>
      </c>
      <c r="C13" s="33">
        <v>0</v>
      </c>
      <c r="D13" s="46" t="s">
        <v>31</v>
      </c>
      <c r="E13" s="33">
        <v>25302</v>
      </c>
      <c r="F13" s="46" t="s">
        <v>31</v>
      </c>
      <c r="G13" s="11"/>
    </row>
    <row r="14" spans="1:7" ht="15" customHeight="1" x14ac:dyDescent="0.25">
      <c r="A14" s="11"/>
      <c r="B14" s="109" t="s">
        <v>154</v>
      </c>
      <c r="C14" s="33">
        <v>297484</v>
      </c>
      <c r="D14" s="46" t="s">
        <v>31</v>
      </c>
      <c r="E14" s="33">
        <v>0</v>
      </c>
      <c r="F14" s="46" t="s">
        <v>31</v>
      </c>
      <c r="G14" s="11"/>
    </row>
    <row r="15" spans="1:7" ht="15" customHeight="1" x14ac:dyDescent="0.25">
      <c r="A15" s="11"/>
      <c r="B15" s="25" t="s">
        <v>106</v>
      </c>
      <c r="C15" s="97">
        <f>SUM(C10:C14)</f>
        <v>297484</v>
      </c>
      <c r="D15" s="98" t="s">
        <v>31</v>
      </c>
      <c r="E15" s="97">
        <f>SUM(E10:E14)</f>
        <v>327239</v>
      </c>
      <c r="F15" s="98" t="s">
        <v>31</v>
      </c>
      <c r="G15" s="11"/>
    </row>
    <row r="16" spans="1:7" ht="15" customHeight="1" x14ac:dyDescent="0.25">
      <c r="A16" s="11"/>
      <c r="B16" s="11"/>
      <c r="C16" s="11"/>
      <c r="D16" s="11"/>
      <c r="E16" s="11"/>
      <c r="F16" s="11"/>
      <c r="G16" s="11"/>
    </row>
    <row r="17" spans="1:7" ht="15" customHeight="1" x14ac:dyDescent="0.25">
      <c r="A17" s="11"/>
      <c r="B17" s="110"/>
      <c r="C17" s="110"/>
      <c r="D17" s="110"/>
      <c r="E17" s="110"/>
      <c r="F17" s="110"/>
      <c r="G17" s="11"/>
    </row>
  </sheetData>
  <sheetProtection algorithmName="SHA-512" hashValue="s61gEW42dnV1F1ru1KKB3MuWZCIPbcBnXvB/lz3ZhD8xz+e/6XrGN6HvV2UkRVUzyYp9lGcqTAbylt6sdv0CMg==" saltValue="bGu+PB9aVJ5M7X3f0CdlK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107</v>
      </c>
      <c r="C8" s="81"/>
      <c r="D8" s="82"/>
      <c r="E8" s="11"/>
    </row>
    <row r="9" spans="1:5" ht="15" customHeight="1" x14ac:dyDescent="0.25">
      <c r="A9" s="11"/>
      <c r="B9" s="111" t="s">
        <v>108</v>
      </c>
      <c r="C9" s="33">
        <v>267530</v>
      </c>
      <c r="D9" s="46" t="s">
        <v>31</v>
      </c>
      <c r="E9" s="11"/>
    </row>
    <row r="10" spans="1:5" ht="15" customHeight="1" x14ac:dyDescent="0.25">
      <c r="A10" s="11"/>
      <c r="B10" s="112" t="s">
        <v>35</v>
      </c>
      <c r="C10" s="33">
        <f>-C9*'8. Nøgletal'!C24</f>
        <v>-4718.4313759465458</v>
      </c>
      <c r="D10" s="46" t="s">
        <v>31</v>
      </c>
      <c r="E10" s="11"/>
    </row>
    <row r="11" spans="1:5" ht="15" customHeight="1" x14ac:dyDescent="0.25">
      <c r="A11" s="11"/>
      <c r="B11" s="112" t="s">
        <v>44</v>
      </c>
      <c r="C11" s="33">
        <f>-C9*'8. Nøgletal'!C19</f>
        <v>-5350.6</v>
      </c>
      <c r="D11" s="46" t="s">
        <v>31</v>
      </c>
      <c r="E11" s="11"/>
    </row>
    <row r="12" spans="1:5" ht="26.25" customHeight="1" x14ac:dyDescent="0.25">
      <c r="A12" s="11"/>
      <c r="B12" s="113" t="s">
        <v>109</v>
      </c>
      <c r="C12" s="97">
        <f>SUM(C9:C11)*(1+'8. Nøgletal'!C9)*(1+'8. Nøgletal'!C10)</f>
        <v>272557.24658612814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2/H6Aj6o9L637OsxPcD5819nljsjJpGK0EmkR7/7xBw33TNSnu2gOJ/5sI1ijpPdPRj5FdEvbor514lyzsTuaA==" saltValue="oWxQh6n/gofZRKKQiOHymw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110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14" t="s">
        <v>111</v>
      </c>
      <c r="C9" s="115">
        <v>0</v>
      </c>
      <c r="D9" s="114" t="s">
        <v>31</v>
      </c>
      <c r="E9" s="11"/>
    </row>
    <row r="10" spans="1:5" ht="14.25" customHeight="1" x14ac:dyDescent="0.25">
      <c r="A10" s="11"/>
      <c r="B10" s="44" t="s">
        <v>112</v>
      </c>
      <c r="C10" s="29">
        <v>0</v>
      </c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14" t="s">
        <v>139</v>
      </c>
      <c r="C13" s="115">
        <v>321181</v>
      </c>
      <c r="D13" s="114" t="s">
        <v>31</v>
      </c>
      <c r="E13" s="11"/>
    </row>
    <row r="14" spans="1:5" ht="14.25" customHeight="1" x14ac:dyDescent="0.25">
      <c r="A14" s="11"/>
      <c r="B14" s="44" t="s">
        <v>113</v>
      </c>
      <c r="C14" s="29">
        <v>301579</v>
      </c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-19602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7">
        <f>C11+C15</f>
        <v>-19602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ltkbjns5NpUKphYfVNhtU2DYy2ZZ454T2kJkaTHGcNu4hg/5kC1M9k4KFRyp22UTEGY/v3lKM+1ZyFjk5HlV3A==" saltValue="CKw+FcjC02L5uJTI9vU3cw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8.710937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16" t="s">
        <v>63</v>
      </c>
      <c r="C9" s="117" t="s">
        <v>65</v>
      </c>
      <c r="D9" s="118"/>
      <c r="E9" s="117" t="s">
        <v>64</v>
      </c>
      <c r="F9" s="118"/>
      <c r="G9" s="117" t="s">
        <v>66</v>
      </c>
      <c r="H9" s="118"/>
      <c r="I9" s="11"/>
    </row>
    <row r="10" spans="1:9" ht="15" customHeight="1" x14ac:dyDescent="0.25">
      <c r="A10" s="11"/>
      <c r="B10" s="111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7">
        <f>SUM(C10:C10)</f>
        <v>0</v>
      </c>
      <c r="D11" s="97" t="s">
        <v>68</v>
      </c>
      <c r="E11" s="97">
        <f>SUM(E10:E10)</f>
        <v>0</v>
      </c>
      <c r="F11" s="97" t="s">
        <v>68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114</v>
      </c>
      <c r="C12" s="97">
        <f>C11*(1+'8. Nøgletal'!C9)</f>
        <v>0</v>
      </c>
      <c r="D12" s="97" t="s">
        <v>68</v>
      </c>
      <c r="E12" s="97">
        <f>E11*(1+'8. Nøgletal'!C9)</f>
        <v>0</v>
      </c>
      <c r="F12" s="97" t="s">
        <v>68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MQKxoftgIq8D4ptPJ1jpalKjSEPWy0rXV65/OucJmz7lL1mwvziEOKo0owjSwnT4QGOaI8Y9XGmZNb25hKBSDw==" saltValue="44TO9H3v3oLNt3mcUhxzOw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8.710937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115</v>
      </c>
      <c r="C8" s="81"/>
      <c r="D8" s="81"/>
      <c r="E8" s="81"/>
      <c r="F8" s="82"/>
      <c r="G8" s="11"/>
    </row>
    <row r="9" spans="1:7" ht="15" customHeight="1" x14ac:dyDescent="0.25">
      <c r="A9" s="11"/>
      <c r="B9" s="119" t="s">
        <v>71</v>
      </c>
      <c r="C9" s="120" t="s">
        <v>53</v>
      </c>
      <c r="D9" s="121"/>
      <c r="E9" s="120" t="s">
        <v>54</v>
      </c>
      <c r="F9" s="121"/>
      <c r="G9" s="11"/>
    </row>
    <row r="10" spans="1:7" ht="15" customHeight="1" x14ac:dyDescent="0.25">
      <c r="A10" s="11"/>
      <c r="B10" s="122" t="s">
        <v>148</v>
      </c>
      <c r="C10" s="33">
        <v>0</v>
      </c>
      <c r="D10" s="46" t="s">
        <v>31</v>
      </c>
      <c r="E10" s="33">
        <v>120877</v>
      </c>
      <c r="F10" s="46" t="s">
        <v>31</v>
      </c>
      <c r="G10" s="11"/>
    </row>
    <row r="11" spans="1:7" ht="15" customHeight="1" x14ac:dyDescent="0.25">
      <c r="A11" s="11"/>
      <c r="B11" s="25" t="s">
        <v>72</v>
      </c>
      <c r="C11" s="97">
        <f>SUM(C10:C10)</f>
        <v>0</v>
      </c>
      <c r="D11" s="98" t="s">
        <v>31</v>
      </c>
      <c r="E11" s="97">
        <f>SUM(E10:E10)</f>
        <v>120877</v>
      </c>
      <c r="F11" s="98" t="s">
        <v>31</v>
      </c>
      <c r="G11" s="11"/>
    </row>
    <row r="12" spans="1:7" ht="15" customHeight="1" x14ac:dyDescent="0.25">
      <c r="A12" s="11"/>
      <c r="B12" s="25" t="s">
        <v>116</v>
      </c>
      <c r="C12" s="97">
        <f>C11*(1+'8. Nøgletal'!C9)</f>
        <v>0</v>
      </c>
      <c r="D12" s="98" t="s">
        <v>31</v>
      </c>
      <c r="E12" s="97">
        <f>E11*(1+'8. Nøgletal'!C9)</f>
        <v>124370.34529999999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0"/>
      <c r="C14" s="110"/>
      <c r="D14" s="110"/>
      <c r="E14" s="110"/>
      <c r="F14" s="110"/>
      <c r="G14" s="11"/>
    </row>
  </sheetData>
  <sheetProtection algorithmName="SHA-512" hashValue="grZuac8g0KBJIYyvBhTOFGlPilOfoQDpAXdC8RqjnlLt+z8NVXJ+6UU5cqtu5/l8vDWPTFQHfupIfBawLFWwhg==" saltValue="JldkZV0Ee0QJ+EZsngXkUw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8.710937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73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19" t="s">
        <v>74</v>
      </c>
      <c r="C9" s="123" t="s">
        <v>53</v>
      </c>
      <c r="D9" s="108"/>
      <c r="E9" s="123" t="s">
        <v>54</v>
      </c>
      <c r="F9" s="108"/>
      <c r="G9" s="11"/>
    </row>
    <row r="10" spans="1:7" ht="26.25" customHeight="1" x14ac:dyDescent="0.25">
      <c r="A10" s="11"/>
      <c r="B10" s="124" t="s">
        <v>132</v>
      </c>
      <c r="C10" s="125"/>
      <c r="D10" s="126" t="s">
        <v>31</v>
      </c>
      <c r="E10" s="125"/>
      <c r="F10" s="126" t="s">
        <v>31</v>
      </c>
      <c r="G10" s="11"/>
    </row>
    <row r="11" spans="1:7" ht="26.25" customHeight="1" x14ac:dyDescent="0.25">
      <c r="A11" s="11"/>
      <c r="B11" s="127" t="s">
        <v>133</v>
      </c>
      <c r="C11" s="128">
        <f>SUM(C10:C10)</f>
        <v>0</v>
      </c>
      <c r="D11" s="129" t="s">
        <v>31</v>
      </c>
      <c r="E11" s="128">
        <f>SUM(E10:E10)</f>
        <v>0</v>
      </c>
      <c r="F11" s="129" t="s">
        <v>31</v>
      </c>
      <c r="G11" s="11"/>
    </row>
    <row r="12" spans="1:7" ht="26.25" customHeight="1" x14ac:dyDescent="0.25">
      <c r="A12" s="11"/>
      <c r="B12" s="127" t="s">
        <v>117</v>
      </c>
      <c r="C12" s="128">
        <f>C11*(1+'8. Nøgletal'!C9)</f>
        <v>0</v>
      </c>
      <c r="D12" s="129" t="s">
        <v>31</v>
      </c>
      <c r="E12" s="128">
        <f>E11*(1+'8. Nøgletal'!C9)</f>
        <v>0</v>
      </c>
      <c r="F12" s="129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T5215+EM1+fCEaV7eSQsh/zcpMDStFMGdngyBkvFXbjuIXKk7yhrX0LNCKIIJ1FMQcHfJdYgvCvCcU/YSKrvRw==" saltValue="omgjv3+k9GWLZ77HwPo5h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8.710937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75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0" t="s">
        <v>76</v>
      </c>
      <c r="C9" s="4">
        <v>2.8899999999999999E-2</v>
      </c>
      <c r="D9" s="22"/>
    </row>
    <row r="10" spans="1:4" ht="15" customHeight="1" x14ac:dyDescent="0.25">
      <c r="A10" s="11"/>
      <c r="B10" s="130" t="s">
        <v>118</v>
      </c>
      <c r="C10" s="4">
        <v>2.8899999999999999E-2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77</v>
      </c>
      <c r="C13" s="27"/>
      <c r="D13" s="11"/>
    </row>
    <row r="14" spans="1:4" ht="15" customHeight="1" x14ac:dyDescent="0.25">
      <c r="A14" s="11"/>
      <c r="B14" s="130" t="s">
        <v>78</v>
      </c>
      <c r="C14" s="5">
        <v>0</v>
      </c>
      <c r="D14" s="22"/>
    </row>
    <row r="15" spans="1:4" ht="15" customHeight="1" x14ac:dyDescent="0.25">
      <c r="A15" s="11"/>
      <c r="B15" s="130" t="s">
        <v>119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79</v>
      </c>
      <c r="C18" s="27"/>
      <c r="D18" s="11"/>
    </row>
    <row r="19" spans="1:4" ht="15" customHeight="1" x14ac:dyDescent="0.25">
      <c r="A19" s="11"/>
      <c r="B19" s="101" t="s">
        <v>80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81</v>
      </c>
      <c r="C23" s="8">
        <v>1.7637017814624699E-2</v>
      </c>
      <c r="D23" s="22"/>
    </row>
    <row r="24" spans="1:4" ht="15" customHeight="1" x14ac:dyDescent="0.25">
      <c r="A24" s="11"/>
      <c r="B24" s="44" t="s">
        <v>120</v>
      </c>
      <c r="C24" s="8">
        <v>1.7637017814624699E-2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7ec1lk76Fw78KMwsNLC0zN6Nfj0goTxf6YmgpCdYe7/646zXIQEKBDEEhrtwHcJ8pt7VxNOpnaczs7ZujyPEkg==" saltValue="ywxgzQrJva4M9bw0FLRX/w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PG10Tillæg_ØR_Tabel_SletDrik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2026-10-05T06:50:13Z</dcterms:modified>
</cp:coreProperties>
</file>