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Assens Rensning AS (S005)\ØR2024\"/>
    </mc:Choice>
  </mc:AlternateContent>
  <xr:revisionPtr revIDLastSave="0" documentId="13_ncr:1_{A64B832F-C083-41EE-A8FA-50BA0ABC598F}"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J72" i="11" l="1"/>
  <c r="F51" i="1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F22" i="11"/>
  <c r="F66" i="11"/>
  <c r="F14" i="11"/>
  <c r="F15" i="11"/>
  <c r="F16" i="11"/>
  <c r="F17" i="11"/>
  <c r="F18" i="11"/>
  <c r="F19" i="11"/>
  <c r="F20" i="11"/>
  <c r="F21" i="11"/>
  <c r="F52" i="11"/>
  <c r="F53" i="11"/>
  <c r="F54" i="11"/>
  <c r="F55" i="11"/>
  <c r="F56" i="11"/>
  <c r="F57" i="11"/>
  <c r="F58" i="11"/>
  <c r="F59" i="11"/>
  <c r="F60" i="11"/>
  <c r="F61" i="11"/>
  <c r="F62" i="11"/>
  <c r="F63" i="11"/>
  <c r="F64" i="11"/>
  <c r="F65" i="11"/>
  <c r="F67" i="11"/>
  <c r="F68" i="11"/>
  <c r="F69" i="11"/>
  <c r="F70" i="11"/>
  <c r="F71" i="11"/>
  <c r="E16" i="44" l="1"/>
  <c r="E17" i="44"/>
  <c r="E25" i="44" l="1"/>
  <c r="E18" i="44"/>
  <c r="C9" i="2"/>
  <c r="E29" i="44" l="1"/>
  <c r="E31" i="44" s="1"/>
  <c r="E30" i="20"/>
  <c r="E29" i="20"/>
  <c r="E31" i="20" s="1"/>
  <c r="E24" i="20"/>
  <c r="E23" i="20"/>
  <c r="E25" i="20" s="1"/>
  <c r="C20" i="15" l="1"/>
  <c r="C32" i="2"/>
  <c r="G18" i="41"/>
  <c r="E17" i="20" l="1"/>
  <c r="E11" i="20"/>
  <c r="C22" i="23" l="1"/>
  <c r="C22" i="22"/>
  <c r="C22" i="15"/>
  <c r="C36" i="2"/>
  <c r="F11" i="11" l="1"/>
  <c r="F12" i="11"/>
  <c r="F13" i="11"/>
  <c r="C13" i="29" l="1"/>
  <c r="C14" i="29" s="1"/>
  <c r="E13" i="29"/>
  <c r="E14" i="29" s="1"/>
  <c r="E13" i="39"/>
  <c r="E14" i="39" s="1"/>
  <c r="C13" i="39"/>
  <c r="C14" i="39" s="1"/>
  <c r="H72" i="11"/>
  <c r="C20" i="19"/>
  <c r="C21" i="19" s="1"/>
  <c r="C16" i="23" l="1"/>
  <c r="C16" i="15"/>
  <c r="C16" i="22"/>
  <c r="F10" i="11"/>
  <c r="F72"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<sst xmlns="http://schemas.openxmlformats.org/spreadsheetml/2006/main" count="960" uniqueCount="346">
  <si>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</si>
  <si>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</si>
  <si>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</si>
  <si>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</si>
  <si>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</si>
  <si>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</si>
  <si>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</si>
  <si>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</si>
  <si>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</si>
  <si>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</si>
  <si>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</si>
  <si>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</si>
  <si>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</si>
  <si>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</si>
  <si>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</si>
  <si>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</si>
  <si>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</si>
  <si>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</si>
  <si>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</si>
  <si>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</si>
  <si>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</si>
  <si>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</si>
  <si>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</si>
  <si>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</si>
  <si>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</si>
  <si>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</si>
  <si>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</si>
  <si>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</si>
  <si>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</si>
  <si>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</si>
  <si>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</si>
  <si>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</si>
  <si>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</si>
  <si>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</si>
  <si>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</si>
  <si>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</si>
  <si>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</si>
  <si>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</si>
  <si>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</si>
  <si>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</si>
  <si>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</si>
  <si>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</si>
  <si>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</si>
  <si>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</si>
  <si>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</si>
  <si>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</si>
  <si>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</si>
  <si>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</si>
  <si>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</si>
  <si>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</si>
  <si>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</si>
  <si>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</si>
  <si>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</si>
  <si>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</si>
  <si>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</si>
  <si>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</si>
  <si>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</si>
  <si>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</si>
  <si>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</si>
  <si>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</si>
  <si>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</si>
  <si>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</si>
  <si>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</si>
  <si>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</si>
  <si>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</si>
  <si>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</si>
  <si>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</si>
  <si>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</si>
  <si>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</si>
  <si>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</si>
  <si>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</si>
  <si>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</si>
  <si>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</si>
  <si>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</si>
  <si>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</si>
  <si>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</si>
  <si>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</si>
  <si>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</si>
  <si>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</si>
  <si>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</si>
  <si>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</si>
  <si>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</si>
  <si>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</si>
  <si>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</si>
  <si>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</si>
  <si>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</si>
  <si>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</si>
  <si>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</si>
  <si>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</si>
  <si>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</si>
  <si>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</si>
  <si>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</si>
  <si>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</si>
  <si>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</si>
  <si>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</si>
  <si>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</si>
  <si>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</si>
  <si>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</si>
  <si>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</si>
  <si>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</si>
  <si>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</si>
  <si>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</si>
  <si>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</si>
  <si>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</si>
  <si>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</si>
  <si>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</si>
  <si>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</si>
  <si>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</si>
  <si>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</si>
  <si>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</si>
  <si>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</si>
  <si>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</si>
  <si>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</si>
  <si>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</si>
  <si>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</si>
  <si>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</si>
  <si>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</si>
  <si>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</si>
  <si>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</si>
  <si>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</si>
  <si>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</si>
  <si>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</si>
  <si>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</si>
  <si>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</si>
  <si>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</si>
  <si>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</si>
  <si>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</si>
  <si>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</si>
  <si>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</si>
  <si>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</si>
  <si>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</si>
  <si>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</si>
  <si>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</si>
  <si>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</si>
  <si>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</si>
  <si>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</si>
  <si>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</si>
  <si>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</si>
  <si>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</si>
  <si>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</si>
  <si>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</si>
  <si>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</si>
  <si>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</si>
  <si>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</si>
  <si>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</si>
  <si>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</si>
  <si>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</si>
  <si>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</si>
  <si>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</si>
  <si>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</si>
  <si>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</si>
  <si>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</si>
  <si>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</si>
  <si>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</si>
  <si>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</si>
  <si>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</si>
  <si>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</si>
  <si>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</si>
  <si>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</si>
  <si>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</si>
  <si>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</si>
  <si>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</si>
  <si>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</si>
  <si>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</si>
  <si>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</si>
  <si>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</si>
  <si>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</si>
  <si>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</si>
  <si>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</si>
  <si>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</si>
  <si>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</si>
  <si>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</si>
  <si>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</si>
  <si>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</si>
  <si>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</si>
  <si>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</si>
  <si>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</si>
  <si>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</si>
  <si>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</si>
  <si>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</si>
  <si>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</si>
  <si>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</si>
  <si>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</si>
  <si>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</si>
  <si>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</si>
  <si>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</si>
  <si>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</si>
  <si>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</si>
  <si>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</si>
  <si>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</si>
  <si>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</si>
  <si>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</si>
  <si>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</si>
  <si>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</si>
  <si>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</si>
  <si>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</si>
  <si>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</si>
  <si>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</si>
  <si>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</si>
  <si>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</si>
  <si>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</si>
  <si>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</si>
  <si>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</si>
  <si>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</si>
  <si>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</si>
  <si>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</si>
  <si>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</si>
  <si>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</si>
  <si>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</si>
  <si>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</si>
  <si>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</si>
  <si>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</si>
  <si>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</si>
  <si>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</si>
  <si>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</si>
  <si>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</si>
  <si>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</si>
  <si>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</si>
  <si>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</si>
  <si>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</si>
  <si>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</si>
  <si>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</si>
  <si>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</si>
  <si>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</si>
  <si>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</si>
  <si>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</si>
  <si>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</si>
  <si>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</si>
  <si>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</si>
  <si>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</si>
  <si>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</si>
  <si>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</si>
  <si>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</si>
  <si>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</si>
  <si>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</si>
  <si>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</si>
  <si>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</si>
  <si>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</si>
  <si>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</si>
  <si>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</si>
  <si>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</si>
  <si>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</si>
  <si>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</si>
  <si>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</si>
  <si>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</si>
  <si>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</si>
  <si>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</si>
  <si>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</si>
  <si>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</si>
  <si>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</si>
  <si>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</si>
  <si>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</si>
  <si>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</si>
  <si>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</si>
  <si>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</si>
  <si>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</si>
  <si>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</si>
  <si>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</si>
  <si>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</si>
  <si>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</si>
  <si>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</si>
  <si>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</si>
  <si>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</si>
  <si>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</si>
  <si>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</si>
  <si>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</si>
  <si>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</si>
  <si>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</si>
  <si>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</si>
  <si>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</si>
  <si>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</si>
  <si>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</si>
  <si>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</si>
  <si>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</si>
  <si>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</si>
  <si>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</si>
  <si>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</si>
  <si>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</si>
  <si>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</si>
  <si>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</si>
  <si>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</si>
  <si>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</si>
  <si>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</si>
  <si>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</si>
  <si>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</si>
  <si>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</si>
  <si>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</si>
  <si>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Anlæg til renset spildevand, Mek/EL</t>
  </si>
  <si>
    <t>Anlæg til renset spildevand, SRO</t>
  </si>
  <si>
    <t>Mindre renseanlæg &lt; 5.000 PE uden mulighed for opdeling</t>
  </si>
  <si>
    <t>Biosorption, Konstruktioner</t>
  </si>
  <si>
    <t>Biosorption, Mek/EL</t>
  </si>
  <si>
    <t>Biosorption, SRO</t>
  </si>
  <si>
    <t>Beluftningstanke, Konstruktioner</t>
  </si>
  <si>
    <t>Efterklaringstanke, Konstruktioner</t>
  </si>
  <si>
    <t>Forafvanding, slam, Konstruktion</t>
  </si>
  <si>
    <t>Forklaring, Konstruktioner</t>
  </si>
  <si>
    <t>Gasdisponering - elproduktionsanlæg, Konstruktioner</t>
  </si>
  <si>
    <t>Gasdisponering, Konstruktioner</t>
  </si>
  <si>
    <t>Indløb med riste, Konstruktioner</t>
  </si>
  <si>
    <t>Rådnetanke, slam, Konstruktioner</t>
  </si>
  <si>
    <t>Sand- og fedtfang, Kontruktioner</t>
  </si>
  <si>
    <t>Slutafvanding, slam - højteknologisk (centrifuger), Konstruktioner</t>
  </si>
  <si>
    <t>Jordbassin Klasse A</t>
  </si>
  <si>
    <t>Buffertank Bryggeri, Konstruktioner</t>
  </si>
  <si>
    <t>Buffertank Bryggeri, Mek/EL</t>
  </si>
  <si>
    <t>Buffertank Bryggeri, SRO</t>
  </si>
  <si>
    <t>Buffertank septisk slam, Konstruktioner</t>
  </si>
  <si>
    <t>Buffertank septisk slam, Mek/EL</t>
  </si>
  <si>
    <t>Buffertank septisk slam, SRO</t>
  </si>
  <si>
    <t>Homogeniseringstank, Konstruktioner</t>
  </si>
  <si>
    <t>Beluftningstanke, Mek/EL</t>
  </si>
  <si>
    <t>Efterklaringstanke, Mek/El</t>
  </si>
  <si>
    <t>Forafvanding, slam, Mek/EL</t>
  </si>
  <si>
    <t>Forklaring, Mek/EL</t>
  </si>
  <si>
    <t>Gasdisponering - elproduktionsanlæg, Mek/EL</t>
  </si>
  <si>
    <t>Gasdisponering, Mek/EL</t>
  </si>
  <si>
    <t>Indløb med riste, Mek/EL</t>
  </si>
  <si>
    <t>Rådnetanke, slam, Mek/EL</t>
  </si>
  <si>
    <t>Sand- og fedtfang, Mek/EL</t>
  </si>
  <si>
    <t>Slutafvanding, slam - højteknologisk (centrifuger), Mek/El</t>
  </si>
  <si>
    <t>Homogeniseringstank, Mek/EL</t>
  </si>
  <si>
    <t>Gasrensning - Aktivt kulfilter &lt;= 500 m3 biogas/t - Konstruktioner, Mek/El eller SRO</t>
  </si>
  <si>
    <t>Varmeproduktionsanlæg &gt; 500 m3 biogas/t - Konstruktioner, Mek/El eller SRO</t>
  </si>
  <si>
    <t>Homogeniseringstank, SRO</t>
  </si>
  <si>
    <t>Modtagertanke Industri, KOD og Fedt, Konstruktioner</t>
  </si>
  <si>
    <t>Modtagertanke Industri, KOD og Fedt, Mek/EL</t>
  </si>
  <si>
    <t>Modtagertanke Industri, KOD og Fedt, SRO</t>
  </si>
  <si>
    <t>Overdækninger af tanke og lugtrensning, Konstruktioner</t>
  </si>
  <si>
    <t>Overdækninger af tanke og lugtrensning, Mek/EL</t>
  </si>
  <si>
    <t>Overdækninger af tanke og lugtrensning, SRO</t>
  </si>
  <si>
    <t>Rejektvandsbehandling, Konstruktioner</t>
  </si>
  <si>
    <t>Rejektvandsbehandling, Mek/el</t>
  </si>
  <si>
    <t>Rejektvandsbehandling, SRO</t>
  </si>
  <si>
    <t>Beluftningstanke, SRO</t>
  </si>
  <si>
    <t>Efterklaringstanke, SRO</t>
  </si>
  <si>
    <t>Forafvanding, slam, SRO</t>
  </si>
  <si>
    <t>Forklaring, SRO</t>
  </si>
  <si>
    <t>Gasdisponering - elproduktionsanlæg, SRO</t>
  </si>
  <si>
    <t>Gasdisponering, SRO</t>
  </si>
  <si>
    <t>Indløb med riste, SRO</t>
  </si>
  <si>
    <t>Rådnetanke, slam, SRO</t>
  </si>
  <si>
    <t>Sand- og fedtfang, SRO</t>
  </si>
  <si>
    <t>Slutafvanding, slam - højteknologisk (centrifuger), SRO</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</si>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</sst>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5" t="s">
        <v>4</v>
      </c>
      <c r="E6" s="95"/>
      <c r="F6" s="95"/>
      <c r="G6" s="95"/>
      <c r="H6" s="3"/>
      <c r="I6" s="1"/>
    </row>
    <row r="7" spans="1:9" ht="15" customHeight="1" x14ac:dyDescent="0.25">
      <c r="A7" s="1"/>
      <c r="B7" s="1"/>
      <c r="C7" s="3"/>
      <c r="D7" s="95"/>
      <c r="E7" s="95"/>
      <c r="F7" s="95"/>
      <c r="G7" s="95"/>
      <c r="H7" s="3"/>
      <c r="I7" s="1"/>
    </row>
    <row r="8" spans="1:9" ht="15.75" x14ac:dyDescent="0.25">
      <c r="A8" s="1"/>
      <c r="B8" s="1"/>
      <c r="C8" s="4"/>
      <c r="D8" s="103" t="s">
        <v>252</v>
      </c>
      <c r="E8" s="103"/>
      <c r="F8" s="103"/>
      <c r="G8" s="10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5"/>
      <c r="I12" s="1"/>
    </row>
    <row r="13" spans="1:9" x14ac:dyDescent="0.25">
      <c r="A13" s="1"/>
      <c r="B13" s="1"/>
      <c r="C13" s="6" t="s">
        <v>6</v>
      </c>
      <c r="D13" s="107" t="s">
        <v>196</v>
      </c>
      <c r="E13" s="108"/>
      <c r="F13" s="108"/>
      <c r="G13" s="109"/>
      <c r="H13" s="5"/>
      <c r="I13" s="1"/>
    </row>
    <row r="14" spans="1:9" x14ac:dyDescent="0.25">
      <c r="A14" s="1"/>
      <c r="B14" s="1"/>
      <c r="C14" s="6" t="s">
        <v>16</v>
      </c>
      <c r="D14" s="92" t="s">
        <v>197</v>
      </c>
      <c r="E14" s="93"/>
      <c r="F14" s="93"/>
      <c r="G14" s="94"/>
      <c r="H14" s="5"/>
      <c r="I14" s="1"/>
    </row>
    <row r="15" spans="1:9" x14ac:dyDescent="0.25">
      <c r="A15" s="1"/>
      <c r="B15" s="1"/>
      <c r="C15" s="6" t="s">
        <v>31</v>
      </c>
      <c r="D15" s="92" t="s">
        <v>262</v>
      </c>
      <c r="E15" s="93"/>
      <c r="F15" s="93"/>
      <c r="G15" s="94"/>
      <c r="H15" s="5"/>
      <c r="I15" s="1"/>
    </row>
    <row r="16" spans="1:9" x14ac:dyDescent="0.25">
      <c r="A16" s="1"/>
      <c r="B16" s="1"/>
      <c r="C16" s="6" t="s">
        <v>32</v>
      </c>
      <c r="D16" s="92" t="s">
        <v>263</v>
      </c>
      <c r="E16" s="93"/>
      <c r="F16" s="93"/>
      <c r="G16" s="94"/>
      <c r="H16" s="5"/>
      <c r="I16" s="1"/>
    </row>
    <row r="17" spans="1:9" x14ac:dyDescent="0.25">
      <c r="A17" s="1"/>
      <c r="B17" s="1"/>
      <c r="C17" s="6" t="s">
        <v>101</v>
      </c>
      <c r="D17" s="92" t="s">
        <v>198</v>
      </c>
      <c r="E17" s="93"/>
      <c r="F17" s="93"/>
      <c r="G17" s="94"/>
      <c r="H17" s="5"/>
      <c r="I17" s="1"/>
    </row>
    <row r="18" spans="1:9" x14ac:dyDescent="0.25">
      <c r="A18" s="1"/>
      <c r="B18" s="1"/>
      <c r="C18" s="6" t="s">
        <v>88</v>
      </c>
      <c r="D18" s="104" t="s">
        <v>79</v>
      </c>
      <c r="E18" s="105"/>
      <c r="F18" s="105"/>
      <c r="G18" s="106"/>
      <c r="H18" s="5"/>
      <c r="I18" s="1"/>
    </row>
    <row r="19" spans="1:9" x14ac:dyDescent="0.25">
      <c r="A19" s="1"/>
      <c r="B19" s="1"/>
      <c r="C19" s="6" t="s">
        <v>89</v>
      </c>
      <c r="D19" s="104" t="s">
        <v>80</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90</v>
      </c>
      <c r="D21" s="96" t="s">
        <v>12</v>
      </c>
      <c r="E21" s="97"/>
      <c r="F21" s="97"/>
      <c r="G21" s="98"/>
      <c r="H21" s="5"/>
      <c r="I21" s="1"/>
    </row>
    <row r="22" spans="1:9" x14ac:dyDescent="0.25">
      <c r="A22" s="1"/>
      <c r="B22" s="1"/>
      <c r="C22" s="6" t="s">
        <v>71</v>
      </c>
      <c r="D22" s="99" t="s">
        <v>199</v>
      </c>
      <c r="E22" s="100"/>
      <c r="F22" s="100"/>
      <c r="G22" s="101"/>
      <c r="H22" s="5"/>
      <c r="I22" s="1"/>
    </row>
    <row r="23" spans="1:9" x14ac:dyDescent="0.25">
      <c r="A23" s="1"/>
      <c r="B23" s="1"/>
      <c r="C23" s="6" t="s">
        <v>8</v>
      </c>
      <c r="D23" s="99" t="s">
        <v>181</v>
      </c>
      <c r="E23" s="100"/>
      <c r="F23" s="100"/>
      <c r="G23" s="101"/>
      <c r="H23" s="5"/>
      <c r="I23" s="1"/>
    </row>
    <row r="24" spans="1:9" x14ac:dyDescent="0.25">
      <c r="A24" s="1"/>
      <c r="B24" s="1"/>
      <c r="C24" s="6" t="s">
        <v>9</v>
      </c>
      <c r="D24" s="99" t="s">
        <v>200</v>
      </c>
      <c r="E24" s="100"/>
      <c r="F24" s="100"/>
      <c r="G24" s="101"/>
      <c r="H24" s="5"/>
      <c r="I24" s="1"/>
    </row>
    <row r="25" spans="1:9" x14ac:dyDescent="0.25">
      <c r="A25" s="1"/>
      <c r="B25" s="1"/>
      <c r="C25" s="6" t="s">
        <v>166</v>
      </c>
      <c r="D25" s="99" t="s">
        <v>160</v>
      </c>
      <c r="E25" s="100"/>
      <c r="F25" s="100"/>
      <c r="G25" s="101"/>
      <c r="H25" s="1"/>
      <c r="I25" s="1"/>
    </row>
    <row r="26" spans="1:9" x14ac:dyDescent="0.25">
      <c r="A26" s="1"/>
      <c r="B26" s="1"/>
      <c r="C26" s="6" t="s">
        <v>167</v>
      </c>
      <c r="D26" s="99" t="s">
        <v>72</v>
      </c>
      <c r="E26" s="100"/>
      <c r="F26" s="100"/>
      <c r="G26" s="101"/>
      <c r="H26" s="1"/>
      <c r="I26" s="1"/>
    </row>
    <row r="27" spans="1:9" x14ac:dyDescent="0.25">
      <c r="A27" s="1"/>
      <c r="B27" s="1"/>
      <c r="C27" s="6" t="s">
        <v>168</v>
      </c>
      <c r="D27" s="99" t="s">
        <v>73</v>
      </c>
      <c r="E27" s="100"/>
      <c r="F27" s="100"/>
      <c r="G27" s="101"/>
      <c r="H27" s="1"/>
      <c r="I27" s="1"/>
    </row>
    <row r="28" spans="1:9" x14ac:dyDescent="0.25">
      <c r="A28" s="1"/>
      <c r="B28" s="1"/>
      <c r="C28" s="6" t="s">
        <v>15</v>
      </c>
      <c r="D28" s="99" t="s">
        <v>74</v>
      </c>
      <c r="E28" s="100"/>
      <c r="F28" s="100"/>
      <c r="G28" s="101"/>
      <c r="H28" s="1"/>
      <c r="I28" s="1"/>
    </row>
    <row r="29" spans="1:9" x14ac:dyDescent="0.25">
      <c r="A29" s="1"/>
      <c r="B29" s="1"/>
      <c r="C29" s="6" t="s">
        <v>34</v>
      </c>
      <c r="D29" s="99" t="s">
        <v>114</v>
      </c>
      <c r="E29" s="100"/>
      <c r="F29" s="100"/>
      <c r="G29" s="101"/>
      <c r="H29" s="1"/>
      <c r="I29" s="1"/>
    </row>
    <row r="30" spans="1:9" x14ac:dyDescent="0.25">
      <c r="A30" s="1"/>
      <c r="B30" s="1"/>
      <c r="C30" s="6" t="s">
        <v>35</v>
      </c>
      <c r="D30" s="99" t="s">
        <v>33</v>
      </c>
      <c r="E30" s="100"/>
      <c r="F30" s="100"/>
      <c r="G30" s="101"/>
      <c r="H30" s="1"/>
      <c r="I30" s="1"/>
    </row>
    <row r="31" spans="1:9" x14ac:dyDescent="0.25">
      <c r="A31" s="1"/>
      <c r="B31" s="1"/>
      <c r="C31" s="6" t="s">
        <v>169</v>
      </c>
      <c r="D31" s="110" t="s">
        <v>87</v>
      </c>
      <c r="E31" s="111"/>
      <c r="F31" s="111"/>
      <c r="G31" s="11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dQFqKVOq+Q1iCzOoUptZ9dgEn5XJKuKhwicgXQ3VjH9P8RKk/4wkTuETCpPS+FrYTTZnUXa9Bz1dYPsCZw9u3g==" saltValue="jI+nstX+tuEAExp2k4OHE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3" t="s">
        <v>93</v>
      </c>
      <c r="C3" s="113"/>
      <c r="D3" s="113"/>
      <c r="E3" s="1"/>
      <c r="F3" s="1"/>
    </row>
    <row r="4" spans="1:6" ht="15" customHeight="1" x14ac:dyDescent="0.25">
      <c r="A4" s="1"/>
      <c r="B4" s="113"/>
      <c r="C4" s="113"/>
      <c r="D4" s="11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0" t="s">
        <v>224</v>
      </c>
      <c r="C8" s="121"/>
      <c r="D8" s="122"/>
      <c r="E8" s="1"/>
      <c r="F8" s="1"/>
    </row>
    <row r="9" spans="1:6" ht="15" customHeight="1" x14ac:dyDescent="0.25">
      <c r="A9" s="1"/>
      <c r="B9" s="27" t="s">
        <v>29</v>
      </c>
      <c r="C9" s="51" t="s">
        <v>225</v>
      </c>
      <c r="D9" s="11"/>
      <c r="E9" s="1"/>
      <c r="F9" s="1"/>
    </row>
    <row r="10" spans="1:6" ht="15" customHeight="1" x14ac:dyDescent="0.25">
      <c r="A10" s="1"/>
      <c r="B10" s="84" t="s">
        <v>271</v>
      </c>
      <c r="C10" s="9">
        <v>664856</v>
      </c>
      <c r="D10" s="14" t="s">
        <v>3</v>
      </c>
      <c r="E10" s="1"/>
      <c r="F10" s="1"/>
    </row>
    <row r="11" spans="1:6" ht="15" customHeight="1" x14ac:dyDescent="0.25">
      <c r="A11" s="1"/>
      <c r="B11" s="84" t="s">
        <v>272</v>
      </c>
      <c r="C11" s="9">
        <v>92526</v>
      </c>
      <c r="D11" s="14" t="s">
        <v>3</v>
      </c>
      <c r="E11" s="1"/>
      <c r="F11" s="1"/>
    </row>
    <row r="12" spans="1:6" ht="26.25" x14ac:dyDescent="0.25">
      <c r="A12" s="1"/>
      <c r="B12" s="29" t="s">
        <v>273</v>
      </c>
      <c r="C12" s="9">
        <v>286036</v>
      </c>
      <c r="D12" s="14" t="s">
        <v>3</v>
      </c>
      <c r="E12" s="1"/>
      <c r="F12" s="1"/>
    </row>
    <row r="13" spans="1:6" x14ac:dyDescent="0.25">
      <c r="A13" s="1"/>
      <c r="B13" s="84" t="s">
        <v>274</v>
      </c>
      <c r="C13" s="9">
        <v>150894</v>
      </c>
      <c r="D13" s="14" t="s">
        <v>3</v>
      </c>
      <c r="E13" s="1"/>
      <c r="F13" s="1"/>
    </row>
    <row r="14" spans="1:6" x14ac:dyDescent="0.25">
      <c r="A14" s="1"/>
      <c r="B14" s="84"/>
      <c r="C14" s="9"/>
      <c r="D14" s="14" t="s">
        <v>3</v>
      </c>
      <c r="E14" s="1"/>
      <c r="F14" s="1"/>
    </row>
    <row r="15" spans="1:6" x14ac:dyDescent="0.25">
      <c r="A15" s="1"/>
      <c r="B15" s="84"/>
      <c r="C15" s="9"/>
      <c r="D15" s="14" t="s">
        <v>3</v>
      </c>
      <c r="E15" s="1"/>
      <c r="F15" s="1"/>
    </row>
    <row r="16" spans="1:6" x14ac:dyDescent="0.25">
      <c r="A16" s="1"/>
      <c r="B16" s="84"/>
      <c r="C16" s="9"/>
      <c r="D16" s="14" t="s">
        <v>3</v>
      </c>
      <c r="E16" s="1"/>
      <c r="F16" s="1"/>
    </row>
    <row r="17" spans="1:6" x14ac:dyDescent="0.25">
      <c r="A17" s="1"/>
      <c r="B17" s="84"/>
      <c r="C17" s="9"/>
      <c r="D17" s="14" t="s">
        <v>3</v>
      </c>
      <c r="E17" s="1"/>
      <c r="F17" s="1"/>
    </row>
    <row r="18" spans="1:6" x14ac:dyDescent="0.25">
      <c r="A18" s="1"/>
      <c r="B18" s="84"/>
      <c r="C18" s="9"/>
      <c r="D18" s="14" t="s">
        <v>3</v>
      </c>
      <c r="E18" s="1"/>
      <c r="F18" s="1"/>
    </row>
    <row r="19" spans="1:6" x14ac:dyDescent="0.25">
      <c r="A19" s="1"/>
      <c r="B19" s="84"/>
      <c r="C19" s="9"/>
      <c r="D19" s="14" t="s">
        <v>3</v>
      </c>
      <c r="E19" s="1"/>
      <c r="F19" s="1"/>
    </row>
    <row r="20" spans="1:6" x14ac:dyDescent="0.25">
      <c r="A20" s="1"/>
      <c r="B20" s="33" t="s">
        <v>226</v>
      </c>
      <c r="C20" s="12">
        <f>SUM(C10:C19)</f>
        <v>1194312</v>
      </c>
      <c r="D20" s="13" t="s">
        <v>3</v>
      </c>
      <c r="E20" s="1"/>
      <c r="F20" s="1"/>
    </row>
    <row r="21" spans="1:6" x14ac:dyDescent="0.25">
      <c r="A21" s="1"/>
      <c r="B21" s="33" t="s">
        <v>227</v>
      </c>
      <c r="C21" s="12">
        <f>C20*(1+'Fane 15. Nøgletal'!C16)^2</f>
        <v>1395110.0522956799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20" t="s">
        <v>99</v>
      </c>
      <c r="C24" s="121"/>
      <c r="D24" s="122"/>
      <c r="E24" s="1"/>
      <c r="F24" s="1"/>
    </row>
    <row r="25" spans="1:6" x14ac:dyDescent="0.25">
      <c r="A25" s="1"/>
      <c r="B25" s="84" t="s">
        <v>109</v>
      </c>
      <c r="C25" s="9">
        <v>0</v>
      </c>
      <c r="D25" s="14" t="s">
        <v>3</v>
      </c>
      <c r="E25" s="1"/>
      <c r="F25" s="1"/>
    </row>
    <row r="26" spans="1:6" x14ac:dyDescent="0.25">
      <c r="A26" s="1"/>
      <c r="B26" s="84" t="s">
        <v>123</v>
      </c>
      <c r="C26" s="9">
        <v>0</v>
      </c>
      <c r="D26" s="14" t="s">
        <v>3</v>
      </c>
      <c r="E26" s="1"/>
      <c r="F26" s="1"/>
    </row>
    <row r="27" spans="1:6" x14ac:dyDescent="0.25">
      <c r="A27" s="1"/>
      <c r="B27" s="84" t="s">
        <v>142</v>
      </c>
      <c r="C27" s="9">
        <v>0</v>
      </c>
      <c r="D27" s="14" t="s">
        <v>3</v>
      </c>
      <c r="E27" s="1"/>
      <c r="F27" s="1"/>
    </row>
    <row r="28" spans="1:6" x14ac:dyDescent="0.25">
      <c r="A28" s="1"/>
      <c r="B28" s="34" t="s">
        <v>261</v>
      </c>
      <c r="C28" s="9">
        <v>0</v>
      </c>
      <c r="D28" s="38" t="s">
        <v>3</v>
      </c>
      <c r="E28" s="1"/>
      <c r="F28" s="1"/>
    </row>
    <row r="29" spans="1:6" x14ac:dyDescent="0.25">
      <c r="A29" s="1"/>
      <c r="B29" s="120"/>
      <c r="C29" s="121"/>
      <c r="D29" s="122"/>
      <c r="E29" s="1"/>
      <c r="F29" s="1"/>
    </row>
    <row r="30" spans="1:6" x14ac:dyDescent="0.25">
      <c r="A30" s="1"/>
      <c r="B30" s="1"/>
      <c r="C30" s="1"/>
      <c r="D30" s="1"/>
      <c r="E30" s="1"/>
      <c r="F30" s="1"/>
    </row>
    <row r="31" spans="1:6" x14ac:dyDescent="0.25">
      <c r="A31" s="1"/>
      <c r="B31" s="1"/>
      <c r="C31" s="1"/>
      <c r="D31" s="1"/>
      <c r="E31" s="1"/>
      <c r="F31" s="1"/>
    </row>
    <row r="32" spans="1:6" x14ac:dyDescent="0.25">
      <c r="A32" s="1"/>
      <c r="B32" s="120" t="s">
        <v>81</v>
      </c>
      <c r="C32" s="121"/>
      <c r="D32" s="122"/>
      <c r="E32" s="1"/>
      <c r="F32" s="1"/>
    </row>
    <row r="33" spans="1:6" x14ac:dyDescent="0.25">
      <c r="A33" s="1"/>
      <c r="B33" s="84" t="s">
        <v>109</v>
      </c>
      <c r="C33" s="9">
        <v>0</v>
      </c>
      <c r="D33" s="14" t="s">
        <v>3</v>
      </c>
      <c r="E33" s="1"/>
      <c r="F33" s="1"/>
    </row>
    <row r="34" spans="1:6" x14ac:dyDescent="0.25">
      <c r="A34" s="1"/>
      <c r="B34" s="84" t="s">
        <v>123</v>
      </c>
      <c r="C34" s="9">
        <v>0</v>
      </c>
      <c r="D34" s="14" t="s">
        <v>3</v>
      </c>
      <c r="E34" s="1"/>
      <c r="F34" s="1"/>
    </row>
    <row r="35" spans="1:6" x14ac:dyDescent="0.25">
      <c r="A35" s="1"/>
      <c r="B35" s="84" t="s">
        <v>142</v>
      </c>
      <c r="C35" s="9">
        <v>0</v>
      </c>
      <c r="D35" s="14" t="s">
        <v>3</v>
      </c>
      <c r="E35" s="1"/>
      <c r="F35" s="1"/>
    </row>
    <row r="36" spans="1:6" x14ac:dyDescent="0.25">
      <c r="A36" s="1"/>
      <c r="B36" s="34" t="s">
        <v>261</v>
      </c>
      <c r="C36" s="9">
        <v>0</v>
      </c>
      <c r="D36" s="38" t="s">
        <v>3</v>
      </c>
      <c r="E36" s="1"/>
      <c r="F36" s="1"/>
    </row>
    <row r="37" spans="1:6" x14ac:dyDescent="0.25">
      <c r="A37" s="1"/>
      <c r="B37" s="120"/>
      <c r="C37" s="121"/>
      <c r="D37" s="122"/>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row r="53" spans="1:6" x14ac:dyDescent="0.25">
      <c r="A53" s="49"/>
      <c r="B53" s="49"/>
      <c r="C53" s="49"/>
      <c r="D53" s="49"/>
      <c r="E53" s="49"/>
      <c r="F53" s="49"/>
    </row>
    <row r="54" spans="1:6" x14ac:dyDescent="0.25">
      <c r="A54" s="49"/>
      <c r="B54" s="49"/>
      <c r="C54" s="49"/>
      <c r="D54" s="49"/>
      <c r="E54" s="49"/>
      <c r="F54" s="49"/>
    </row>
    <row r="55" spans="1:6" x14ac:dyDescent="0.25">
      <c r="A55" s="49"/>
      <c r="B55" s="49"/>
      <c r="C55" s="49"/>
      <c r="D55" s="49"/>
      <c r="E55" s="49"/>
      <c r="F55" s="49"/>
    </row>
    <row r="56" spans="1:6" x14ac:dyDescent="0.25">
      <c r="A56" s="49"/>
      <c r="B56" s="49"/>
      <c r="C56" s="49"/>
      <c r="D56" s="49"/>
      <c r="E56" s="49"/>
      <c r="F56" s="49"/>
    </row>
  </sheetData>
  <sheetProtection algorithmName="SHA-512" hashValue="oLybWeY586ErKBCeVUtKwWQnqVZfQLt+4O9cdH0FEVguJI2bIxUZd+Mq/s4zYUG3PHd7mYRPvdKRkcekPiqrbA==" saltValue="vnjJvK/+g05UfvHz4hj8m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2D37-6978-4A47-B2E4-71E27AFBE822}">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6" t="s">
        <v>206</v>
      </c>
      <c r="C3" s="116"/>
      <c r="D3" s="116"/>
      <c r="E3" s="116"/>
      <c r="F3" s="116"/>
      <c r="G3" s="1"/>
    </row>
    <row r="4" spans="1:7" ht="15" customHeight="1" x14ac:dyDescent="0.25">
      <c r="A4" s="1"/>
      <c r="B4" s="116"/>
      <c r="C4" s="116"/>
      <c r="D4" s="116"/>
      <c r="E4" s="116"/>
      <c r="F4" s="116"/>
      <c r="G4" s="1"/>
    </row>
    <row r="5" spans="1:7" ht="15" customHeight="1" x14ac:dyDescent="0.25">
      <c r="A5" s="1"/>
      <c r="B5" s="77"/>
      <c r="C5" s="77"/>
      <c r="D5" s="77"/>
      <c r="E5" s="77"/>
      <c r="F5" s="77"/>
      <c r="G5" s="1"/>
    </row>
    <row r="6" spans="1:7" ht="15" customHeight="1" x14ac:dyDescent="0.25">
      <c r="A6" s="1"/>
      <c r="B6" s="77"/>
      <c r="C6" s="77"/>
      <c r="D6" s="77"/>
      <c r="E6" s="77"/>
      <c r="F6" s="77"/>
      <c r="G6" s="1"/>
    </row>
    <row r="7" spans="1:7" ht="15" customHeight="1" x14ac:dyDescent="0.25">
      <c r="A7" s="1"/>
      <c r="B7" s="1"/>
      <c r="C7" s="1"/>
      <c r="D7" s="1"/>
      <c r="E7" s="1"/>
      <c r="F7" s="1"/>
      <c r="G7" s="1"/>
    </row>
    <row r="8" spans="1:7" ht="15" customHeight="1" x14ac:dyDescent="0.25">
      <c r="A8" s="1"/>
      <c r="B8" s="120" t="s">
        <v>137</v>
      </c>
      <c r="C8" s="121"/>
      <c r="D8" s="121"/>
      <c r="E8" s="121"/>
      <c r="F8" s="122"/>
      <c r="G8" s="1"/>
    </row>
    <row r="9" spans="1:7" ht="15" customHeight="1" x14ac:dyDescent="0.25">
      <c r="A9" s="1"/>
      <c r="B9" s="123" t="s">
        <v>275</v>
      </c>
      <c r="C9" s="124"/>
      <c r="D9" s="125"/>
      <c r="E9" s="9">
        <v>-1798730</v>
      </c>
      <c r="F9" s="14" t="s">
        <v>3</v>
      </c>
      <c r="G9" s="1"/>
    </row>
    <row r="10" spans="1:7" ht="15" customHeight="1" x14ac:dyDescent="0.25">
      <c r="A10" s="1"/>
      <c r="B10" s="123" t="s">
        <v>143</v>
      </c>
      <c r="C10" s="124"/>
      <c r="D10" s="125"/>
      <c r="E10" s="9">
        <v>-592463</v>
      </c>
      <c r="F10" s="14" t="s">
        <v>3</v>
      </c>
      <c r="G10" s="1"/>
    </row>
    <row r="11" spans="1:7" ht="15" customHeight="1" x14ac:dyDescent="0.25">
      <c r="A11" s="1"/>
      <c r="B11" s="123" t="s">
        <v>276</v>
      </c>
      <c r="C11" s="124"/>
      <c r="D11" s="125"/>
      <c r="E11" s="9">
        <v>706312</v>
      </c>
      <c r="F11" s="14" t="s">
        <v>3</v>
      </c>
      <c r="G11" s="1"/>
    </row>
    <row r="12" spans="1:7" x14ac:dyDescent="0.25">
      <c r="A12" s="1"/>
      <c r="B12" s="33"/>
      <c r="C12" s="28"/>
      <c r="D12" s="28"/>
      <c r="E12" s="28"/>
      <c r="F12" s="19"/>
      <c r="G12" s="1"/>
    </row>
    <row r="13" spans="1:7" ht="42" customHeight="1" x14ac:dyDescent="0.25">
      <c r="A13" s="1"/>
      <c r="B13" s="117" t="s">
        <v>277</v>
      </c>
      <c r="C13" s="118"/>
      <c r="D13" s="118"/>
      <c r="E13" s="118"/>
      <c r="F13" s="119"/>
      <c r="G13" s="1"/>
    </row>
    <row r="14" spans="1:7" ht="15" customHeight="1" x14ac:dyDescent="0.25">
      <c r="A14" s="1"/>
      <c r="B14" s="1"/>
      <c r="C14" s="1"/>
      <c r="D14" s="1"/>
      <c r="E14" s="1"/>
      <c r="F14" s="1"/>
      <c r="G14" s="1"/>
    </row>
    <row r="15" spans="1:7" x14ac:dyDescent="0.25">
      <c r="A15" s="1"/>
      <c r="B15" s="78" t="s">
        <v>278</v>
      </c>
      <c r="C15" s="79"/>
      <c r="D15" s="79"/>
      <c r="E15" s="79"/>
      <c r="F15" s="80"/>
      <c r="G15" s="1"/>
    </row>
    <row r="16" spans="1:7" x14ac:dyDescent="0.25">
      <c r="A16" s="1"/>
      <c r="B16" s="81" t="s">
        <v>279</v>
      </c>
      <c r="C16" s="82"/>
      <c r="D16" s="83"/>
      <c r="E16" s="9">
        <f>IF(E11&lt;0,E11,0)</f>
        <v>0</v>
      </c>
      <c r="F16" s="14" t="s">
        <v>3</v>
      </c>
      <c r="G16" s="1"/>
    </row>
    <row r="17" spans="1:7" x14ac:dyDescent="0.25">
      <c r="A17" s="1"/>
      <c r="B17" s="81" t="s">
        <v>280</v>
      </c>
      <c r="C17" s="82"/>
      <c r="D17" s="83"/>
      <c r="E17" s="9">
        <f>IF(SUM(E10)&gt;0,SUM(E10),0)</f>
        <v>0</v>
      </c>
      <c r="F17" s="14" t="s">
        <v>3</v>
      </c>
      <c r="G17" s="1"/>
    </row>
    <row r="18" spans="1:7" x14ac:dyDescent="0.25">
      <c r="A18" s="1"/>
      <c r="B18" s="85" t="s">
        <v>281</v>
      </c>
      <c r="C18" s="86"/>
      <c r="D18" s="87"/>
      <c r="E18" s="63">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8" t="s">
        <v>282</v>
      </c>
      <c r="C21" s="79"/>
      <c r="D21" s="79"/>
      <c r="E21" s="79"/>
      <c r="F21" s="80"/>
      <c r="G21" s="1"/>
    </row>
    <row r="22" spans="1:7" x14ac:dyDescent="0.25">
      <c r="A22" s="1"/>
      <c r="B22" s="81" t="s">
        <v>283</v>
      </c>
      <c r="C22" s="82"/>
      <c r="D22" s="83"/>
      <c r="E22" s="9">
        <v>22544723</v>
      </c>
      <c r="F22" s="14" t="s">
        <v>3</v>
      </c>
      <c r="G22" s="1"/>
    </row>
    <row r="23" spans="1:7" x14ac:dyDescent="0.25">
      <c r="A23" s="1"/>
      <c r="B23" s="81" t="s">
        <v>284</v>
      </c>
      <c r="C23" s="82"/>
      <c r="D23" s="83"/>
      <c r="E23" s="9">
        <v>20850377</v>
      </c>
      <c r="F23" s="14" t="s">
        <v>3</v>
      </c>
      <c r="G23" s="1"/>
    </row>
    <row r="24" spans="1:7" x14ac:dyDescent="0.25">
      <c r="A24" s="1"/>
      <c r="B24" s="81" t="s">
        <v>30</v>
      </c>
      <c r="C24" s="82"/>
      <c r="D24" s="83"/>
      <c r="E24" s="9">
        <v>38000</v>
      </c>
      <c r="F24" s="14" t="s">
        <v>3</v>
      </c>
      <c r="G24" s="1"/>
    </row>
    <row r="25" spans="1:7" x14ac:dyDescent="0.25">
      <c r="A25" s="1"/>
      <c r="B25" s="85" t="s">
        <v>285</v>
      </c>
      <c r="C25" s="86"/>
      <c r="D25" s="87"/>
      <c r="E25" s="63">
        <f>E22-E23-E24</f>
        <v>1656346</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20" t="s">
        <v>286</v>
      </c>
      <c r="C28" s="121"/>
      <c r="D28" s="121"/>
      <c r="E28" s="121"/>
      <c r="F28" s="122"/>
      <c r="G28" s="1"/>
    </row>
    <row r="29" spans="1:7" x14ac:dyDescent="0.25">
      <c r="A29" s="1"/>
      <c r="B29" s="135" t="s">
        <v>116</v>
      </c>
      <c r="C29" s="136"/>
      <c r="D29" s="137"/>
      <c r="E29" s="9">
        <f>IF(E18&lt;0,IF(E25&lt;0,SUM(E18,E25),IF(E10&gt;0,SUM(E10:E11),E18)),IF(AND(E25&lt;0,SUM(E25,E11)&lt;0),IF(E11&lt;0,E25,IF(SUM(E10:E11)&gt;0,SUM(E25,E11),IF(AND(E25&lt;0,E18=0,E11&gt;0),IF(SUM(E9:E11)&gt;0,E25+E11,E25)))),0))</f>
        <v>0</v>
      </c>
      <c r="F29" s="14" t="s">
        <v>3</v>
      </c>
      <c r="G29" s="1"/>
    </row>
    <row r="30" spans="1:7" x14ac:dyDescent="0.25">
      <c r="A30" s="1"/>
      <c r="B30" s="135" t="s">
        <v>84</v>
      </c>
      <c r="C30" s="136"/>
      <c r="D30" s="137"/>
      <c r="E30" s="9">
        <v>2</v>
      </c>
      <c r="F30" s="14" t="s">
        <v>20</v>
      </c>
      <c r="G30" s="1"/>
    </row>
    <row r="31" spans="1:7" x14ac:dyDescent="0.25">
      <c r="A31" s="1"/>
      <c r="B31" s="138" t="s">
        <v>117</v>
      </c>
      <c r="C31" s="139"/>
      <c r="D31" s="140"/>
      <c r="E31" s="10">
        <f>E29/E30</f>
        <v>0</v>
      </c>
      <c r="F31" s="17" t="s">
        <v>3</v>
      </c>
      <c r="G31" s="1"/>
    </row>
    <row r="32" spans="1:7" x14ac:dyDescent="0.25">
      <c r="A32" s="1"/>
      <c r="B32" s="141"/>
      <c r="C32" s="142"/>
      <c r="D32" s="142"/>
      <c r="E32" s="142"/>
      <c r="F32" s="143"/>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9"/>
      <c r="B46" s="49"/>
      <c r="C46" s="49"/>
      <c r="D46" s="49"/>
      <c r="E46" s="49"/>
      <c r="F46" s="49"/>
      <c r="G46" s="49"/>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G51" s="49"/>
    </row>
  </sheetData>
  <sheetProtection algorithmName="SHA-512" hashValue="8aIn5zCQ4HdTwGwMIhWcDKPoZl9YUzJWwX7fy4QHM9H3U/hT8O5JRTRc1sQ4BKXF8SS10M58I5o1iCpDffzMKw==" saltValue="coZmg2pLp2pdZ7nEeln8e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2" customWidth="1"/>
    <col min="2" max="2" width="22.5703125" style="62" customWidth="1"/>
    <col min="3" max="3" width="8.28515625" style="62" customWidth="1"/>
    <col min="4" max="6" width="10.7109375" style="62" customWidth="1"/>
    <col min="7" max="7" width="11.140625" style="62" customWidth="1"/>
    <col min="8" max="8" width="3.28515625" style="62" customWidth="1"/>
    <col min="9" max="9" width="4.85546875" style="62" customWidth="1"/>
    <col min="10" max="16384" width="9.140625" style="6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3" t="s">
        <v>170</v>
      </c>
      <c r="C3" s="113"/>
      <c r="D3" s="113"/>
      <c r="E3" s="113"/>
      <c r="F3" s="113"/>
      <c r="G3" s="113"/>
      <c r="H3" s="113"/>
      <c r="I3" s="1"/>
    </row>
    <row r="4" spans="1:9" ht="15" customHeight="1" x14ac:dyDescent="0.25">
      <c r="A4" s="1"/>
      <c r="B4" s="113"/>
      <c r="C4" s="113"/>
      <c r="D4" s="113"/>
      <c r="E4" s="113"/>
      <c r="F4" s="113"/>
      <c r="G4" s="113"/>
      <c r="H4" s="11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0" t="s">
        <v>189</v>
      </c>
      <c r="C8" s="121"/>
      <c r="D8" s="121"/>
      <c r="E8" s="121"/>
      <c r="F8" s="121"/>
      <c r="G8" s="121"/>
      <c r="H8" s="122"/>
      <c r="I8" s="1"/>
    </row>
    <row r="9" spans="1:9" ht="15" customHeight="1" x14ac:dyDescent="0.25">
      <c r="A9" s="1"/>
      <c r="B9" s="147" t="s">
        <v>171</v>
      </c>
      <c r="C9" s="148"/>
      <c r="D9" s="148"/>
      <c r="E9" s="148"/>
      <c r="F9" s="148"/>
      <c r="G9" s="148"/>
      <c r="H9" s="149"/>
      <c r="I9" s="1"/>
    </row>
    <row r="10" spans="1:9" x14ac:dyDescent="0.25">
      <c r="A10" s="1"/>
      <c r="B10" s="144" t="s">
        <v>172</v>
      </c>
      <c r="C10" s="145"/>
      <c r="D10" s="145"/>
      <c r="E10" s="145"/>
      <c r="F10" s="146"/>
      <c r="G10" s="9">
        <v>0</v>
      </c>
      <c r="H10" s="9" t="s">
        <v>3</v>
      </c>
      <c r="I10" s="1"/>
    </row>
    <row r="11" spans="1:9" x14ac:dyDescent="0.25">
      <c r="A11" s="1"/>
      <c r="B11" s="144" t="s">
        <v>173</v>
      </c>
      <c r="C11" s="145"/>
      <c r="D11" s="145"/>
      <c r="E11" s="145"/>
      <c r="F11" s="146"/>
      <c r="G11" s="9">
        <v>0</v>
      </c>
      <c r="H11" s="9" t="s">
        <v>3</v>
      </c>
      <c r="I11" s="1"/>
    </row>
    <row r="12" spans="1:9" x14ac:dyDescent="0.25">
      <c r="A12" s="1"/>
      <c r="B12" s="144" t="s">
        <v>174</v>
      </c>
      <c r="C12" s="145"/>
      <c r="D12" s="145"/>
      <c r="E12" s="145"/>
      <c r="F12" s="146"/>
      <c r="G12" s="9">
        <v>0</v>
      </c>
      <c r="H12" s="9" t="s">
        <v>3</v>
      </c>
      <c r="I12" s="1"/>
    </row>
    <row r="13" spans="1:9" x14ac:dyDescent="0.25">
      <c r="A13" s="1"/>
      <c r="B13" s="144" t="s">
        <v>175</v>
      </c>
      <c r="C13" s="145"/>
      <c r="D13" s="145"/>
      <c r="E13" s="145"/>
      <c r="F13" s="146"/>
      <c r="G13" s="9">
        <v>0</v>
      </c>
      <c r="H13" s="9" t="s">
        <v>3</v>
      </c>
      <c r="I13" s="1"/>
    </row>
    <row r="14" spans="1:9" x14ac:dyDescent="0.25">
      <c r="A14" s="1"/>
      <c r="B14" s="144" t="s">
        <v>176</v>
      </c>
      <c r="C14" s="145"/>
      <c r="D14" s="145"/>
      <c r="E14" s="145"/>
      <c r="F14" s="146"/>
      <c r="G14" s="9">
        <v>0</v>
      </c>
      <c r="H14" s="9" t="s">
        <v>3</v>
      </c>
      <c r="I14" s="1"/>
    </row>
    <row r="15" spans="1:9" x14ac:dyDescent="0.25">
      <c r="A15" s="1"/>
      <c r="B15" s="144" t="s">
        <v>177</v>
      </c>
      <c r="C15" s="145"/>
      <c r="D15" s="145"/>
      <c r="E15" s="145"/>
      <c r="F15" s="146"/>
      <c r="G15" s="9">
        <v>0</v>
      </c>
      <c r="H15" s="9" t="s">
        <v>3</v>
      </c>
      <c r="I15" s="1"/>
    </row>
    <row r="16" spans="1:9" x14ac:dyDescent="0.25">
      <c r="A16" s="1"/>
      <c r="B16" s="144" t="s">
        <v>178</v>
      </c>
      <c r="C16" s="145"/>
      <c r="D16" s="145"/>
      <c r="E16" s="145"/>
      <c r="F16" s="146"/>
      <c r="G16" s="9">
        <v>0</v>
      </c>
      <c r="H16" s="9" t="s">
        <v>3</v>
      </c>
      <c r="I16" s="1"/>
    </row>
    <row r="17" spans="1:9" x14ac:dyDescent="0.25">
      <c r="A17" s="1"/>
      <c r="B17" s="144" t="s">
        <v>179</v>
      </c>
      <c r="C17" s="145"/>
      <c r="D17" s="145"/>
      <c r="E17" s="145"/>
      <c r="F17" s="146"/>
      <c r="G17" s="9">
        <v>0</v>
      </c>
      <c r="H17" s="9" t="s">
        <v>3</v>
      </c>
      <c r="I17" s="1"/>
    </row>
    <row r="18" spans="1:9" x14ac:dyDescent="0.25">
      <c r="A18" s="1"/>
      <c r="B18" s="120" t="s">
        <v>180</v>
      </c>
      <c r="C18" s="121"/>
      <c r="D18" s="121"/>
      <c r="E18" s="121"/>
      <c r="F18" s="12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q4XnsMDPi1uiLZ2Po0WQPChKcVz9d1vpK/p759DlicpDwXibNSfixYplAdWw7dr2uBRTjOLumBYUXRWLrET1Hw==" saltValue="dx41Um60hyNoLbTH8jmCEw=="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6" t="s">
        <v>207</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0" t="s">
        <v>228</v>
      </c>
      <c r="C9" s="121"/>
      <c r="D9" s="121"/>
      <c r="E9" s="121"/>
      <c r="F9" s="122"/>
      <c r="G9" s="1"/>
    </row>
    <row r="10" spans="1:7" x14ac:dyDescent="0.25">
      <c r="A10" s="1"/>
      <c r="B10" s="117" t="s">
        <v>82</v>
      </c>
      <c r="C10" s="118"/>
      <c r="D10" s="119"/>
      <c r="E10" s="7">
        <v>0</v>
      </c>
      <c r="F10" s="8" t="s">
        <v>3</v>
      </c>
      <c r="G10" s="1"/>
    </row>
    <row r="11" spans="1:7" x14ac:dyDescent="0.25">
      <c r="A11" s="1"/>
      <c r="B11" s="123" t="s">
        <v>229</v>
      </c>
      <c r="C11" s="124"/>
      <c r="D11" s="125"/>
      <c r="E11" s="7">
        <v>0</v>
      </c>
      <c r="F11" s="8" t="s">
        <v>3</v>
      </c>
      <c r="G11" s="1"/>
    </row>
    <row r="12" spans="1:7" x14ac:dyDescent="0.25">
      <c r="A12" s="1"/>
      <c r="B12" s="138" t="s">
        <v>83</v>
      </c>
      <c r="C12" s="139"/>
      <c r="D12" s="140"/>
      <c r="E12" s="10">
        <f>E11-E10</f>
        <v>0</v>
      </c>
      <c r="F12" s="11" t="s">
        <v>3</v>
      </c>
      <c r="G12" s="1"/>
    </row>
    <row r="13" spans="1:7" x14ac:dyDescent="0.25">
      <c r="A13" s="1"/>
      <c r="B13" s="120" t="s">
        <v>78</v>
      </c>
      <c r="C13" s="121"/>
      <c r="D13" s="121"/>
      <c r="E13" s="121"/>
      <c r="F13" s="122"/>
      <c r="G13" s="1"/>
    </row>
    <row r="14" spans="1:7" x14ac:dyDescent="0.25">
      <c r="A14" s="1"/>
      <c r="B14" s="123" t="s">
        <v>230</v>
      </c>
      <c r="C14" s="124"/>
      <c r="D14" s="125"/>
      <c r="E14" s="7">
        <v>0</v>
      </c>
      <c r="F14" s="8" t="s">
        <v>3</v>
      </c>
      <c r="G14" s="1"/>
    </row>
    <row r="15" spans="1:7" x14ac:dyDescent="0.25">
      <c r="A15" s="1"/>
      <c r="B15" s="117" t="s">
        <v>231</v>
      </c>
      <c r="C15" s="118"/>
      <c r="D15" s="119"/>
      <c r="E15" s="7">
        <v>0</v>
      </c>
      <c r="F15" s="8" t="s">
        <v>3</v>
      </c>
      <c r="G15" s="1"/>
    </row>
    <row r="16" spans="1:7" x14ac:dyDescent="0.25">
      <c r="A16" s="1"/>
      <c r="B16" s="138" t="s">
        <v>83</v>
      </c>
      <c r="C16" s="139"/>
      <c r="D16" s="140"/>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nsK6nVmDcjnQXLuHzhtZf8gzKaDNvuKBF53B23uAB1q+Vhi4JANzjeOshlOov79MxZe3UH7N3TymC1LmRNKA==" saltValue="qftZxUk9SBizMPBJM/0Or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98"/>
  <sheetViews>
    <sheetView showGridLines="0" view="pageLayout" zoomScaleNormal="100" workbookViewId="0"/>
  </sheetViews>
  <sheetFormatPr defaultColWidth="9.140625" defaultRowHeight="15" x14ac:dyDescent="0.25"/>
  <cols>
    <col min="1" max="1" width="4.7109375" style="2" customWidth="1"/>
    <col min="2" max="2" width="20.7109375" style="2" customWidth="1"/>
    <col min="3" max="3" width="8.85546875" style="2" customWidth="1"/>
    <col min="4" max="4" width="8.7109375" style="2" customWidth="1"/>
    <col min="5" max="5" width="3.7109375" style="2" customWidth="1"/>
    <col min="6" max="6" width="10"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3" t="s">
        <v>182</v>
      </c>
      <c r="C3" s="113"/>
      <c r="D3" s="113"/>
      <c r="E3" s="113"/>
      <c r="F3" s="113"/>
      <c r="G3" s="113"/>
      <c r="H3" s="113"/>
      <c r="I3" s="113"/>
      <c r="J3" s="113"/>
      <c r="K3" s="113"/>
      <c r="L3" s="1"/>
    </row>
    <row r="4" spans="1:12" ht="15" customHeight="1" x14ac:dyDescent="0.25">
      <c r="A4" s="1"/>
      <c r="B4" s="113"/>
      <c r="C4" s="113"/>
      <c r="D4" s="113"/>
      <c r="E4" s="113"/>
      <c r="F4" s="113"/>
      <c r="G4" s="113"/>
      <c r="H4" s="113"/>
      <c r="I4" s="113"/>
      <c r="J4" s="113"/>
      <c r="K4" s="11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0" t="s">
        <v>149</v>
      </c>
      <c r="C8" s="121"/>
      <c r="D8" s="121"/>
      <c r="E8" s="121"/>
      <c r="F8" s="121"/>
      <c r="G8" s="121"/>
      <c r="H8" s="121"/>
      <c r="I8" s="121"/>
      <c r="J8" s="121"/>
      <c r="K8" s="122"/>
      <c r="L8" s="1"/>
    </row>
    <row r="9" spans="1:12" ht="39.75" customHeight="1" x14ac:dyDescent="0.25">
      <c r="A9" s="1"/>
      <c r="B9" s="18" t="s">
        <v>0</v>
      </c>
      <c r="C9" s="18" t="s">
        <v>1</v>
      </c>
      <c r="D9" s="150" t="s">
        <v>165</v>
      </c>
      <c r="E9" s="151"/>
      <c r="F9" s="150" t="s">
        <v>2</v>
      </c>
      <c r="G9" s="151"/>
      <c r="H9" s="150" t="s">
        <v>164</v>
      </c>
      <c r="I9" s="151"/>
      <c r="J9" s="150" t="s">
        <v>27</v>
      </c>
      <c r="K9" s="151"/>
      <c r="L9" s="1"/>
    </row>
    <row r="10" spans="1:12" ht="26.25" x14ac:dyDescent="0.25">
      <c r="A10" s="1"/>
      <c r="B10" s="88" t="s">
        <v>287</v>
      </c>
      <c r="C10" s="46">
        <v>20</v>
      </c>
      <c r="D10" s="9">
        <v>2949458.8</v>
      </c>
      <c r="E10" s="14" t="s">
        <v>3</v>
      </c>
      <c r="F10" s="9">
        <f>IFERROR(D10/C10,0)</f>
        <v>147472.94</v>
      </c>
      <c r="G10" s="14" t="s">
        <v>3</v>
      </c>
      <c r="H10" s="42">
        <v>0</v>
      </c>
      <c r="I10" s="14" t="s">
        <v>3</v>
      </c>
      <c r="J10" s="42">
        <v>0</v>
      </c>
      <c r="K10" s="14" t="s">
        <v>3</v>
      </c>
      <c r="L10" s="1"/>
    </row>
    <row r="11" spans="1:12" ht="26.25" x14ac:dyDescent="0.25">
      <c r="A11" s="1"/>
      <c r="B11" s="88" t="s">
        <v>288</v>
      </c>
      <c r="C11" s="39">
        <v>10</v>
      </c>
      <c r="D11" s="9">
        <v>103751.93</v>
      </c>
      <c r="E11" s="14" t="s">
        <v>3</v>
      </c>
      <c r="F11" s="9">
        <f t="shared" ref="F11:F13" si="0">IFERROR(D11/C11,0)</f>
        <v>10375.192999999999</v>
      </c>
      <c r="G11" s="14" t="s">
        <v>3</v>
      </c>
      <c r="H11" s="42">
        <v>0</v>
      </c>
      <c r="I11" s="14" t="s">
        <v>3</v>
      </c>
      <c r="J11" s="42">
        <v>0</v>
      </c>
      <c r="K11" s="14" t="s">
        <v>3</v>
      </c>
      <c r="L11" s="1"/>
    </row>
    <row r="12" spans="1:12" ht="39" x14ac:dyDescent="0.25">
      <c r="A12" s="1"/>
      <c r="B12" s="88" t="s">
        <v>289</v>
      </c>
      <c r="C12" s="39">
        <v>40</v>
      </c>
      <c r="D12" s="9">
        <v>2107078.8199999998</v>
      </c>
      <c r="E12" s="14" t="s">
        <v>3</v>
      </c>
      <c r="F12" s="9">
        <f t="shared" si="0"/>
        <v>52676.970499999996</v>
      </c>
      <c r="G12" s="14" t="s">
        <v>3</v>
      </c>
      <c r="H12" s="42">
        <v>0</v>
      </c>
      <c r="I12" s="14" t="s">
        <v>3</v>
      </c>
      <c r="J12" s="42">
        <v>0</v>
      </c>
      <c r="K12" s="14" t="s">
        <v>3</v>
      </c>
      <c r="L12" s="1"/>
    </row>
    <row r="13" spans="1:12" ht="39" x14ac:dyDescent="0.25">
      <c r="A13" s="1"/>
      <c r="B13" s="88" t="s">
        <v>289</v>
      </c>
      <c r="C13" s="39">
        <v>40</v>
      </c>
      <c r="D13" s="9">
        <v>1359222.12</v>
      </c>
      <c r="E13" s="14" t="s">
        <v>3</v>
      </c>
      <c r="F13" s="9">
        <f t="shared" si="0"/>
        <v>33980.553</v>
      </c>
      <c r="G13" s="14" t="s">
        <v>3</v>
      </c>
      <c r="H13" s="42">
        <v>0</v>
      </c>
      <c r="I13" s="14" t="s">
        <v>3</v>
      </c>
      <c r="J13" s="42">
        <v>0</v>
      </c>
      <c r="K13" s="14" t="s">
        <v>3</v>
      </c>
      <c r="L13" s="1"/>
    </row>
    <row r="14" spans="1:12" ht="39" x14ac:dyDescent="0.25">
      <c r="A14" s="1"/>
      <c r="B14" s="88" t="s">
        <v>289</v>
      </c>
      <c r="C14" s="39">
        <v>40</v>
      </c>
      <c r="D14" s="9">
        <v>47812.81</v>
      </c>
      <c r="E14" s="14" t="s">
        <v>3</v>
      </c>
      <c r="F14" s="9">
        <f t="shared" ref="F14:F71" si="1">IFERROR(D14/C14,0)</f>
        <v>1195.32025</v>
      </c>
      <c r="G14" s="14" t="s">
        <v>3</v>
      </c>
      <c r="H14" s="42">
        <v>0</v>
      </c>
      <c r="I14" s="14" t="s">
        <v>3</v>
      </c>
      <c r="J14" s="42">
        <v>0</v>
      </c>
      <c r="K14" s="14" t="s">
        <v>3</v>
      </c>
      <c r="L14" s="1"/>
    </row>
    <row r="15" spans="1:12" ht="26.25" x14ac:dyDescent="0.25">
      <c r="A15" s="1"/>
      <c r="B15" s="88" t="s">
        <v>290</v>
      </c>
      <c r="C15" s="39">
        <v>60</v>
      </c>
      <c r="D15" s="9">
        <v>3924423.22</v>
      </c>
      <c r="E15" s="14" t="s">
        <v>3</v>
      </c>
      <c r="F15" s="9">
        <f t="shared" si="1"/>
        <v>65407.053666666667</v>
      </c>
      <c r="G15" s="14" t="s">
        <v>3</v>
      </c>
      <c r="H15" s="42">
        <v>0</v>
      </c>
      <c r="I15" s="14" t="s">
        <v>3</v>
      </c>
      <c r="J15" s="42">
        <v>0</v>
      </c>
      <c r="K15" s="14" t="s">
        <v>3</v>
      </c>
      <c r="L15" s="1"/>
    </row>
    <row r="16" spans="1:12" x14ac:dyDescent="0.25">
      <c r="A16" s="1"/>
      <c r="B16" s="88" t="s">
        <v>291</v>
      </c>
      <c r="C16" s="39">
        <v>20</v>
      </c>
      <c r="D16" s="9">
        <v>6436907.7300000004</v>
      </c>
      <c r="E16" s="14" t="s">
        <v>3</v>
      </c>
      <c r="F16" s="9">
        <f t="shared" si="1"/>
        <v>321845.38650000002</v>
      </c>
      <c r="G16" s="14" t="s">
        <v>3</v>
      </c>
      <c r="H16" s="42">
        <v>0</v>
      </c>
      <c r="I16" s="14" t="s">
        <v>3</v>
      </c>
      <c r="J16" s="42">
        <v>0</v>
      </c>
      <c r="K16" s="14" t="s">
        <v>3</v>
      </c>
      <c r="L16" s="1"/>
    </row>
    <row r="17" spans="1:12" x14ac:dyDescent="0.25">
      <c r="A17" s="1"/>
      <c r="B17" s="88" t="s">
        <v>292</v>
      </c>
      <c r="C17" s="39">
        <v>10</v>
      </c>
      <c r="D17" s="9">
        <v>226428.52</v>
      </c>
      <c r="E17" s="14" t="s">
        <v>3</v>
      </c>
      <c r="F17" s="9">
        <f t="shared" si="1"/>
        <v>22642.851999999999</v>
      </c>
      <c r="G17" s="14" t="s">
        <v>3</v>
      </c>
      <c r="H17" s="42">
        <v>0</v>
      </c>
      <c r="I17" s="14" t="s">
        <v>3</v>
      </c>
      <c r="J17" s="42">
        <v>0</v>
      </c>
      <c r="K17" s="14" t="s">
        <v>3</v>
      </c>
      <c r="L17" s="1"/>
    </row>
    <row r="18" spans="1:12" ht="26.25" x14ac:dyDescent="0.25">
      <c r="A18" s="1"/>
      <c r="B18" s="88" t="s">
        <v>293</v>
      </c>
      <c r="C18" s="39">
        <v>60</v>
      </c>
      <c r="D18" s="9">
        <v>18963709.390000001</v>
      </c>
      <c r="E18" s="14" t="s">
        <v>3</v>
      </c>
      <c r="F18" s="9">
        <f t="shared" si="1"/>
        <v>316061.82316666667</v>
      </c>
      <c r="G18" s="14" t="s">
        <v>3</v>
      </c>
      <c r="H18" s="42">
        <v>0</v>
      </c>
      <c r="I18" s="14" t="s">
        <v>3</v>
      </c>
      <c r="J18" s="42">
        <v>448327.92</v>
      </c>
      <c r="K18" s="14" t="s">
        <v>3</v>
      </c>
      <c r="L18" s="1"/>
    </row>
    <row r="19" spans="1:12" ht="26.25" x14ac:dyDescent="0.25">
      <c r="A19" s="1"/>
      <c r="B19" s="88" t="s">
        <v>294</v>
      </c>
      <c r="C19" s="39">
        <v>60</v>
      </c>
      <c r="D19" s="9">
        <v>10628932.039999999</v>
      </c>
      <c r="E19" s="14" t="s">
        <v>3</v>
      </c>
      <c r="F19" s="9">
        <f t="shared" si="1"/>
        <v>177148.86733333333</v>
      </c>
      <c r="G19" s="14" t="s">
        <v>3</v>
      </c>
      <c r="H19" s="42">
        <v>0</v>
      </c>
      <c r="I19" s="14" t="s">
        <v>3</v>
      </c>
      <c r="J19" s="42">
        <v>251282.43</v>
      </c>
      <c r="K19" s="14" t="s">
        <v>3</v>
      </c>
      <c r="L19" s="1"/>
    </row>
    <row r="20" spans="1:12" ht="26.25" x14ac:dyDescent="0.25">
      <c r="A20" s="1"/>
      <c r="B20" s="88" t="s">
        <v>295</v>
      </c>
      <c r="C20" s="39">
        <v>60</v>
      </c>
      <c r="D20" s="9">
        <v>3875487.18</v>
      </c>
      <c r="E20" s="14" t="s">
        <v>3</v>
      </c>
      <c r="F20" s="9">
        <f t="shared" si="1"/>
        <v>64591.453000000001</v>
      </c>
      <c r="G20" s="14" t="s">
        <v>3</v>
      </c>
      <c r="H20" s="42">
        <v>0</v>
      </c>
      <c r="I20" s="14" t="s">
        <v>3</v>
      </c>
      <c r="J20" s="42">
        <v>91621.8</v>
      </c>
      <c r="K20" s="14" t="s">
        <v>3</v>
      </c>
      <c r="L20" s="1"/>
    </row>
    <row r="21" spans="1:12" x14ac:dyDescent="0.25">
      <c r="A21" s="1"/>
      <c r="B21" s="88" t="s">
        <v>296</v>
      </c>
      <c r="C21" s="39">
        <v>60</v>
      </c>
      <c r="D21" s="9">
        <v>7026480.2400000002</v>
      </c>
      <c r="E21" s="14" t="s">
        <v>3</v>
      </c>
      <c r="F21" s="9">
        <f t="shared" si="1"/>
        <v>117108.004</v>
      </c>
      <c r="G21" s="14" t="s">
        <v>3</v>
      </c>
      <c r="H21" s="42">
        <v>0</v>
      </c>
      <c r="I21" s="14" t="s">
        <v>3</v>
      </c>
      <c r="J21" s="42">
        <v>166115.56</v>
      </c>
      <c r="K21" s="14" t="s">
        <v>3</v>
      </c>
      <c r="L21" s="1"/>
    </row>
    <row r="22" spans="1:12" ht="39" x14ac:dyDescent="0.25">
      <c r="A22" s="1"/>
      <c r="B22" s="88" t="s">
        <v>297</v>
      </c>
      <c r="C22" s="39">
        <v>60</v>
      </c>
      <c r="D22" s="9">
        <v>3399566.64</v>
      </c>
      <c r="E22" s="14" t="s">
        <v>3</v>
      </c>
      <c r="F22" s="9">
        <f t="shared" ref="F22:F51" si="2">IFERROR(D22/C22,0)</f>
        <v>56659.444000000003</v>
      </c>
      <c r="G22" s="14" t="s">
        <v>3</v>
      </c>
      <c r="H22" s="42">
        <v>0</v>
      </c>
      <c r="I22" s="14" t="s">
        <v>3</v>
      </c>
      <c r="J22" s="42">
        <v>80370.39</v>
      </c>
      <c r="K22" s="14" t="s">
        <v>3</v>
      </c>
      <c r="L22" s="1"/>
    </row>
    <row r="23" spans="1:12" ht="26.25" x14ac:dyDescent="0.25">
      <c r="A23" s="1"/>
      <c r="B23" s="88" t="s">
        <v>298</v>
      </c>
      <c r="C23" s="39">
        <v>60</v>
      </c>
      <c r="D23" s="9">
        <v>729974.07</v>
      </c>
      <c r="E23" s="14" t="s">
        <v>3</v>
      </c>
      <c r="F23" s="9">
        <f t="shared" si="2"/>
        <v>12166.234499999999</v>
      </c>
      <c r="G23" s="14" t="s">
        <v>3</v>
      </c>
      <c r="H23" s="42">
        <v>0</v>
      </c>
      <c r="I23" s="14" t="s">
        <v>3</v>
      </c>
      <c r="J23" s="42">
        <v>17257.580000000002</v>
      </c>
      <c r="K23" s="14" t="s">
        <v>3</v>
      </c>
      <c r="L23" s="1"/>
    </row>
    <row r="24" spans="1:12" ht="26.25" x14ac:dyDescent="0.25">
      <c r="A24" s="1"/>
      <c r="B24" s="88" t="s">
        <v>299</v>
      </c>
      <c r="C24" s="39">
        <v>60</v>
      </c>
      <c r="D24" s="9">
        <v>13711743.359999999</v>
      </c>
      <c r="E24" s="14" t="s">
        <v>3</v>
      </c>
      <c r="F24" s="9">
        <f t="shared" si="2"/>
        <v>228529.05599999998</v>
      </c>
      <c r="G24" s="14" t="s">
        <v>3</v>
      </c>
      <c r="H24" s="42">
        <v>0</v>
      </c>
      <c r="I24" s="14" t="s">
        <v>3</v>
      </c>
      <c r="J24" s="42">
        <v>324164.28999999998</v>
      </c>
      <c r="K24" s="14" t="s">
        <v>3</v>
      </c>
      <c r="L24" s="1"/>
    </row>
    <row r="25" spans="1:12" ht="26.25" x14ac:dyDescent="0.25">
      <c r="A25" s="1"/>
      <c r="B25" s="88" t="s">
        <v>300</v>
      </c>
      <c r="C25" s="39">
        <v>60</v>
      </c>
      <c r="D25" s="9">
        <v>1220360.07</v>
      </c>
      <c r="E25" s="14" t="s">
        <v>3</v>
      </c>
      <c r="F25" s="9">
        <f t="shared" si="2"/>
        <v>20339.334500000001</v>
      </c>
      <c r="G25" s="14" t="s">
        <v>3</v>
      </c>
      <c r="H25" s="42">
        <v>0</v>
      </c>
      <c r="I25" s="14" t="s">
        <v>3</v>
      </c>
      <c r="J25" s="42">
        <v>28850.97</v>
      </c>
      <c r="K25" s="14" t="s">
        <v>3</v>
      </c>
      <c r="L25" s="1"/>
    </row>
    <row r="26" spans="1:12" ht="26.25" x14ac:dyDescent="0.25">
      <c r="A26" s="1"/>
      <c r="B26" s="88" t="s">
        <v>301</v>
      </c>
      <c r="C26" s="39">
        <v>60</v>
      </c>
      <c r="D26" s="9">
        <v>3065375.81</v>
      </c>
      <c r="E26" s="14" t="s">
        <v>3</v>
      </c>
      <c r="F26" s="9">
        <f t="shared" si="2"/>
        <v>51089.596833333337</v>
      </c>
      <c r="G26" s="14" t="s">
        <v>3</v>
      </c>
      <c r="H26" s="42">
        <v>0</v>
      </c>
      <c r="I26" s="14" t="s">
        <v>3</v>
      </c>
      <c r="J26" s="42">
        <v>72469.66</v>
      </c>
      <c r="K26" s="14" t="s">
        <v>3</v>
      </c>
      <c r="L26" s="1"/>
    </row>
    <row r="27" spans="1:12" ht="51.75" x14ac:dyDescent="0.25">
      <c r="A27" s="1"/>
      <c r="B27" s="88" t="s">
        <v>302</v>
      </c>
      <c r="C27" s="39">
        <v>60</v>
      </c>
      <c r="D27" s="9">
        <v>6254817.8200000003</v>
      </c>
      <c r="E27" s="14" t="s">
        <v>3</v>
      </c>
      <c r="F27" s="9">
        <f t="shared" si="2"/>
        <v>104246.96366666668</v>
      </c>
      <c r="G27" s="14" t="s">
        <v>3</v>
      </c>
      <c r="H27" s="42">
        <v>0</v>
      </c>
      <c r="I27" s="14" t="s">
        <v>3</v>
      </c>
      <c r="J27" s="42">
        <v>147872.41</v>
      </c>
      <c r="K27" s="14" t="s">
        <v>3</v>
      </c>
      <c r="L27" s="1"/>
    </row>
    <row r="28" spans="1:12" ht="39" x14ac:dyDescent="0.25">
      <c r="A28" s="1"/>
      <c r="B28" s="88" t="s">
        <v>289</v>
      </c>
      <c r="C28" s="39">
        <v>40</v>
      </c>
      <c r="D28" s="9">
        <v>309923.71999999997</v>
      </c>
      <c r="E28" s="14" t="s">
        <v>3</v>
      </c>
      <c r="F28" s="9">
        <f t="shared" si="2"/>
        <v>7748.0929999999989</v>
      </c>
      <c r="G28" s="14" t="s">
        <v>3</v>
      </c>
      <c r="H28" s="42">
        <v>0</v>
      </c>
      <c r="I28" s="14" t="s">
        <v>3</v>
      </c>
      <c r="J28" s="42">
        <v>0</v>
      </c>
      <c r="K28" s="14" t="s">
        <v>3</v>
      </c>
      <c r="L28" s="1"/>
    </row>
    <row r="29" spans="1:12" x14ac:dyDescent="0.25">
      <c r="A29" s="1"/>
      <c r="B29" s="88" t="s">
        <v>303</v>
      </c>
      <c r="C29" s="39">
        <v>50</v>
      </c>
      <c r="D29" s="9">
        <v>4234761.72</v>
      </c>
      <c r="E29" s="14" t="s">
        <v>3</v>
      </c>
      <c r="F29" s="9">
        <f t="shared" si="2"/>
        <v>84695.234400000001</v>
      </c>
      <c r="G29" s="14" t="s">
        <v>3</v>
      </c>
      <c r="H29" s="42">
        <v>0</v>
      </c>
      <c r="I29" s="14" t="s">
        <v>3</v>
      </c>
      <c r="J29" s="42">
        <v>100115.53</v>
      </c>
      <c r="K29" s="14" t="s">
        <v>3</v>
      </c>
      <c r="L29" s="1"/>
    </row>
    <row r="30" spans="1:12" ht="39" x14ac:dyDescent="0.25">
      <c r="A30" s="1"/>
      <c r="B30" s="88" t="s">
        <v>289</v>
      </c>
      <c r="C30" s="39">
        <v>40</v>
      </c>
      <c r="D30" s="9">
        <v>896059.22</v>
      </c>
      <c r="E30" s="14" t="s">
        <v>3</v>
      </c>
      <c r="F30" s="9">
        <f t="shared" si="2"/>
        <v>22401.480499999998</v>
      </c>
      <c r="G30" s="14" t="s">
        <v>3</v>
      </c>
      <c r="H30" s="42">
        <v>0</v>
      </c>
      <c r="I30" s="14" t="s">
        <v>3</v>
      </c>
      <c r="J30" s="42">
        <v>0</v>
      </c>
      <c r="K30" s="14" t="s">
        <v>3</v>
      </c>
      <c r="L30" s="1"/>
    </row>
    <row r="31" spans="1:12" ht="39" x14ac:dyDescent="0.25">
      <c r="A31" s="1"/>
      <c r="B31" s="88" t="s">
        <v>289</v>
      </c>
      <c r="C31" s="39">
        <v>40</v>
      </c>
      <c r="D31" s="9">
        <v>31520.32</v>
      </c>
      <c r="E31" s="14" t="s">
        <v>3</v>
      </c>
      <c r="F31" s="9">
        <f t="shared" si="2"/>
        <v>788.00800000000004</v>
      </c>
      <c r="G31" s="14" t="s">
        <v>3</v>
      </c>
      <c r="H31" s="42">
        <v>0</v>
      </c>
      <c r="I31" s="14" t="s">
        <v>3</v>
      </c>
      <c r="J31" s="42">
        <v>0</v>
      </c>
      <c r="K31" s="14" t="s">
        <v>3</v>
      </c>
      <c r="L31" s="1"/>
    </row>
    <row r="32" spans="1:12" ht="26.25" x14ac:dyDescent="0.25">
      <c r="A32" s="1"/>
      <c r="B32" s="88" t="s">
        <v>304</v>
      </c>
      <c r="C32" s="39">
        <v>60</v>
      </c>
      <c r="D32" s="9">
        <v>2919991.25</v>
      </c>
      <c r="E32" s="14" t="s">
        <v>3</v>
      </c>
      <c r="F32" s="9">
        <f t="shared" si="2"/>
        <v>48666.520833333336</v>
      </c>
      <c r="G32" s="14" t="s">
        <v>3</v>
      </c>
      <c r="H32" s="42">
        <v>0</v>
      </c>
      <c r="I32" s="14" t="s">
        <v>3</v>
      </c>
      <c r="J32" s="42">
        <v>0</v>
      </c>
      <c r="K32" s="14" t="s">
        <v>3</v>
      </c>
      <c r="L32" s="1"/>
    </row>
    <row r="33" spans="1:12" ht="26.25" x14ac:dyDescent="0.25">
      <c r="A33" s="1"/>
      <c r="B33" s="88" t="s">
        <v>305</v>
      </c>
      <c r="C33" s="39">
        <v>20</v>
      </c>
      <c r="D33" s="9">
        <v>4797387.9800000004</v>
      </c>
      <c r="E33" s="14" t="s">
        <v>3</v>
      </c>
      <c r="F33" s="9">
        <f t="shared" si="2"/>
        <v>239869.39900000003</v>
      </c>
      <c r="G33" s="14" t="s">
        <v>3</v>
      </c>
      <c r="H33" s="42">
        <v>0</v>
      </c>
      <c r="I33" s="14" t="s">
        <v>3</v>
      </c>
      <c r="J33" s="42">
        <v>0</v>
      </c>
      <c r="K33" s="14" t="s">
        <v>3</v>
      </c>
      <c r="L33" s="1"/>
    </row>
    <row r="34" spans="1:12" x14ac:dyDescent="0.25">
      <c r="A34" s="1"/>
      <c r="B34" s="88" t="s">
        <v>306</v>
      </c>
      <c r="C34" s="39">
        <v>10</v>
      </c>
      <c r="D34" s="9">
        <v>168755.79</v>
      </c>
      <c r="E34" s="14" t="s">
        <v>3</v>
      </c>
      <c r="F34" s="9">
        <f t="shared" si="2"/>
        <v>16875.579000000002</v>
      </c>
      <c r="G34" s="14" t="s">
        <v>3</v>
      </c>
      <c r="H34" s="42">
        <v>0</v>
      </c>
      <c r="I34" s="14" t="s">
        <v>3</v>
      </c>
      <c r="J34" s="42">
        <v>0</v>
      </c>
      <c r="K34" s="14" t="s">
        <v>3</v>
      </c>
      <c r="L34" s="1"/>
    </row>
    <row r="35" spans="1:12" ht="26.25" x14ac:dyDescent="0.25">
      <c r="A35" s="1"/>
      <c r="B35" s="88" t="s">
        <v>307</v>
      </c>
      <c r="C35" s="39">
        <v>60</v>
      </c>
      <c r="D35" s="9">
        <v>1985417.14</v>
      </c>
      <c r="E35" s="14" t="s">
        <v>3</v>
      </c>
      <c r="F35" s="9">
        <f t="shared" si="2"/>
        <v>33090.285666666663</v>
      </c>
      <c r="G35" s="14" t="s">
        <v>3</v>
      </c>
      <c r="H35" s="42">
        <v>0</v>
      </c>
      <c r="I35" s="14" t="s">
        <v>3</v>
      </c>
      <c r="J35" s="42">
        <v>0</v>
      </c>
      <c r="K35" s="14" t="s">
        <v>3</v>
      </c>
      <c r="L35" s="1"/>
    </row>
    <row r="36" spans="1:12" ht="26.25" x14ac:dyDescent="0.25">
      <c r="A36" s="1"/>
      <c r="B36" s="88" t="s">
        <v>308</v>
      </c>
      <c r="C36" s="39">
        <v>20</v>
      </c>
      <c r="D36" s="9">
        <v>784607.49</v>
      </c>
      <c r="E36" s="14" t="s">
        <v>3</v>
      </c>
      <c r="F36" s="9">
        <f t="shared" si="2"/>
        <v>39230.374499999998</v>
      </c>
      <c r="G36" s="14" t="s">
        <v>3</v>
      </c>
      <c r="H36" s="42">
        <v>0</v>
      </c>
      <c r="I36" s="14" t="s">
        <v>3</v>
      </c>
      <c r="J36" s="42">
        <v>0</v>
      </c>
      <c r="K36" s="14" t="s">
        <v>3</v>
      </c>
      <c r="L36" s="1"/>
    </row>
    <row r="37" spans="1:12" ht="26.25" x14ac:dyDescent="0.25">
      <c r="A37" s="1"/>
      <c r="B37" s="88" t="s">
        <v>309</v>
      </c>
      <c r="C37" s="39">
        <v>10</v>
      </c>
      <c r="D37" s="9">
        <v>27599.82</v>
      </c>
      <c r="E37" s="14" t="s">
        <v>3</v>
      </c>
      <c r="F37" s="9">
        <f t="shared" si="2"/>
        <v>2759.982</v>
      </c>
      <c r="G37" s="14" t="s">
        <v>3</v>
      </c>
      <c r="H37" s="42">
        <v>0</v>
      </c>
      <c r="I37" s="14" t="s">
        <v>3</v>
      </c>
      <c r="J37" s="42">
        <v>0</v>
      </c>
      <c r="K37" s="14" t="s">
        <v>3</v>
      </c>
      <c r="L37" s="1"/>
    </row>
    <row r="38" spans="1:12" ht="26.25" x14ac:dyDescent="0.25">
      <c r="A38" s="1"/>
      <c r="B38" s="88" t="s">
        <v>310</v>
      </c>
      <c r="C38" s="39">
        <v>60</v>
      </c>
      <c r="D38" s="9">
        <v>1457426.03</v>
      </c>
      <c r="E38" s="14" t="s">
        <v>3</v>
      </c>
      <c r="F38" s="9">
        <f t="shared" si="2"/>
        <v>24290.433833333333</v>
      </c>
      <c r="G38" s="14" t="s">
        <v>3</v>
      </c>
      <c r="H38" s="42">
        <v>0</v>
      </c>
      <c r="I38" s="14" t="s">
        <v>3</v>
      </c>
      <c r="J38" s="42">
        <v>0</v>
      </c>
      <c r="K38" s="14" t="s">
        <v>3</v>
      </c>
      <c r="L38" s="1"/>
    </row>
    <row r="39" spans="1:12" ht="26.25" x14ac:dyDescent="0.25">
      <c r="A39" s="1"/>
      <c r="B39" s="88" t="s">
        <v>311</v>
      </c>
      <c r="C39" s="39">
        <v>20</v>
      </c>
      <c r="D39" s="9">
        <v>20830791.550000001</v>
      </c>
      <c r="E39" s="14" t="s">
        <v>3</v>
      </c>
      <c r="F39" s="9">
        <f t="shared" si="2"/>
        <v>1041539.5775</v>
      </c>
      <c r="G39" s="14" t="s">
        <v>3</v>
      </c>
      <c r="H39" s="42">
        <v>0</v>
      </c>
      <c r="I39" s="14" t="s">
        <v>3</v>
      </c>
      <c r="J39" s="42">
        <v>492468.28</v>
      </c>
      <c r="K39" s="14" t="s">
        <v>3</v>
      </c>
      <c r="L39" s="1"/>
    </row>
    <row r="40" spans="1:12" ht="26.25" x14ac:dyDescent="0.25">
      <c r="A40" s="1"/>
      <c r="B40" s="88" t="s">
        <v>312</v>
      </c>
      <c r="C40" s="39">
        <v>20</v>
      </c>
      <c r="D40" s="9">
        <v>5615350.3200000003</v>
      </c>
      <c r="E40" s="14" t="s">
        <v>3</v>
      </c>
      <c r="F40" s="9">
        <f t="shared" si="2"/>
        <v>280767.516</v>
      </c>
      <c r="G40" s="14" t="s">
        <v>3</v>
      </c>
      <c r="H40" s="42">
        <v>0</v>
      </c>
      <c r="I40" s="14" t="s">
        <v>3</v>
      </c>
      <c r="J40" s="42">
        <v>132754.53</v>
      </c>
      <c r="K40" s="14" t="s">
        <v>3</v>
      </c>
      <c r="L40" s="1"/>
    </row>
    <row r="41" spans="1:12" ht="26.25" x14ac:dyDescent="0.25">
      <c r="A41" s="1"/>
      <c r="B41" s="88" t="s">
        <v>313</v>
      </c>
      <c r="C41" s="39">
        <v>20</v>
      </c>
      <c r="D41" s="9">
        <v>9190183.6600000001</v>
      </c>
      <c r="E41" s="14" t="s">
        <v>3</v>
      </c>
      <c r="F41" s="9">
        <f t="shared" si="2"/>
        <v>459509.18300000002</v>
      </c>
      <c r="G41" s="14" t="s">
        <v>3</v>
      </c>
      <c r="H41" s="42">
        <v>0</v>
      </c>
      <c r="I41" s="14" t="s">
        <v>3</v>
      </c>
      <c r="J41" s="42">
        <v>217268.46</v>
      </c>
      <c r="K41" s="14" t="s">
        <v>3</v>
      </c>
      <c r="L41" s="1"/>
    </row>
    <row r="42" spans="1:12" x14ac:dyDescent="0.25">
      <c r="A42" s="1"/>
      <c r="B42" s="88" t="s">
        <v>314</v>
      </c>
      <c r="C42" s="39">
        <v>20</v>
      </c>
      <c r="D42" s="9">
        <v>9655361.5999999996</v>
      </c>
      <c r="E42" s="14" t="s">
        <v>3</v>
      </c>
      <c r="F42" s="9">
        <f t="shared" si="2"/>
        <v>482768.07999999996</v>
      </c>
      <c r="G42" s="14" t="s">
        <v>3</v>
      </c>
      <c r="H42" s="42">
        <v>0</v>
      </c>
      <c r="I42" s="14" t="s">
        <v>3</v>
      </c>
      <c r="J42" s="42">
        <v>228265.9</v>
      </c>
      <c r="K42" s="14" t="s">
        <v>3</v>
      </c>
      <c r="L42" s="1"/>
    </row>
    <row r="43" spans="1:12" ht="39" x14ac:dyDescent="0.25">
      <c r="A43" s="1"/>
      <c r="B43" s="88" t="s">
        <v>315</v>
      </c>
      <c r="C43" s="39">
        <v>20</v>
      </c>
      <c r="D43" s="9">
        <v>14170489.119999999</v>
      </c>
      <c r="E43" s="14" t="s">
        <v>3</v>
      </c>
      <c r="F43" s="9">
        <f t="shared" si="2"/>
        <v>708524.45600000001</v>
      </c>
      <c r="G43" s="14" t="s">
        <v>3</v>
      </c>
      <c r="H43" s="42">
        <v>0</v>
      </c>
      <c r="I43" s="14" t="s">
        <v>3</v>
      </c>
      <c r="J43" s="42">
        <v>335009.65999999997</v>
      </c>
      <c r="K43" s="14" t="s">
        <v>3</v>
      </c>
      <c r="L43" s="1"/>
    </row>
    <row r="44" spans="1:12" x14ac:dyDescent="0.25">
      <c r="A44" s="1"/>
      <c r="B44" s="88" t="s">
        <v>316</v>
      </c>
      <c r="C44" s="39">
        <v>20</v>
      </c>
      <c r="D44" s="9">
        <v>2785923.94</v>
      </c>
      <c r="E44" s="14" t="s">
        <v>3</v>
      </c>
      <c r="F44" s="9">
        <f t="shared" si="2"/>
        <v>139296.19699999999</v>
      </c>
      <c r="G44" s="14" t="s">
        <v>3</v>
      </c>
      <c r="H44" s="42">
        <v>0</v>
      </c>
      <c r="I44" s="14" t="s">
        <v>3</v>
      </c>
      <c r="J44" s="42">
        <v>65863.039999999994</v>
      </c>
      <c r="K44" s="14" t="s">
        <v>3</v>
      </c>
      <c r="L44" s="1"/>
    </row>
    <row r="45" spans="1:12" x14ac:dyDescent="0.25">
      <c r="A45" s="1"/>
      <c r="B45" s="88" t="s">
        <v>317</v>
      </c>
      <c r="C45" s="39">
        <v>20</v>
      </c>
      <c r="D45" s="9">
        <v>10306967.300000001</v>
      </c>
      <c r="E45" s="14" t="s">
        <v>3</v>
      </c>
      <c r="F45" s="9">
        <f t="shared" si="2"/>
        <v>515348.36500000005</v>
      </c>
      <c r="G45" s="14" t="s">
        <v>3</v>
      </c>
      <c r="H45" s="42">
        <v>0</v>
      </c>
      <c r="I45" s="14" t="s">
        <v>3</v>
      </c>
      <c r="J45" s="42">
        <v>243670.74</v>
      </c>
      <c r="K45" s="14" t="s">
        <v>3</v>
      </c>
      <c r="L45" s="1"/>
    </row>
    <row r="46" spans="1:12" ht="26.25" x14ac:dyDescent="0.25">
      <c r="A46" s="1"/>
      <c r="B46" s="88" t="s">
        <v>318</v>
      </c>
      <c r="C46" s="39">
        <v>20</v>
      </c>
      <c r="D46" s="9">
        <v>14829750.34</v>
      </c>
      <c r="E46" s="14" t="s">
        <v>3</v>
      </c>
      <c r="F46" s="9">
        <f t="shared" si="2"/>
        <v>741487.51699999999</v>
      </c>
      <c r="G46" s="14" t="s">
        <v>3</v>
      </c>
      <c r="H46" s="42">
        <v>0</v>
      </c>
      <c r="I46" s="14" t="s">
        <v>3</v>
      </c>
      <c r="J46" s="42">
        <v>350595.5</v>
      </c>
      <c r="K46" s="14" t="s">
        <v>3</v>
      </c>
      <c r="L46" s="1"/>
    </row>
    <row r="47" spans="1:12" ht="26.25" x14ac:dyDescent="0.25">
      <c r="A47" s="1"/>
      <c r="B47" s="88" t="s">
        <v>319</v>
      </c>
      <c r="C47" s="39">
        <v>20</v>
      </c>
      <c r="D47" s="9">
        <v>5097088.6900000004</v>
      </c>
      <c r="E47" s="14" t="s">
        <v>3</v>
      </c>
      <c r="F47" s="9">
        <f t="shared" si="2"/>
        <v>254854.43450000003</v>
      </c>
      <c r="G47" s="14" t="s">
        <v>3</v>
      </c>
      <c r="H47" s="42">
        <v>0</v>
      </c>
      <c r="I47" s="14" t="s">
        <v>3</v>
      </c>
      <c r="J47" s="42">
        <v>120502.12</v>
      </c>
      <c r="K47" s="14" t="s">
        <v>3</v>
      </c>
      <c r="L47" s="1"/>
    </row>
    <row r="48" spans="1:12" ht="39" x14ac:dyDescent="0.25">
      <c r="A48" s="1"/>
      <c r="B48" s="88" t="s">
        <v>320</v>
      </c>
      <c r="C48" s="39">
        <v>20</v>
      </c>
      <c r="D48" s="9">
        <v>18845683.609999999</v>
      </c>
      <c r="E48" s="14" t="s">
        <v>3</v>
      </c>
      <c r="F48" s="9">
        <f t="shared" si="2"/>
        <v>942284.18050000002</v>
      </c>
      <c r="G48" s="14" t="s">
        <v>3</v>
      </c>
      <c r="H48" s="42">
        <v>0</v>
      </c>
      <c r="I48" s="14" t="s">
        <v>3</v>
      </c>
      <c r="J48" s="42">
        <v>445537.63</v>
      </c>
      <c r="K48" s="14" t="s">
        <v>3</v>
      </c>
      <c r="L48" s="1"/>
    </row>
    <row r="49" spans="1:12" ht="26.25" x14ac:dyDescent="0.25">
      <c r="A49" s="1"/>
      <c r="B49" s="88" t="s">
        <v>321</v>
      </c>
      <c r="C49" s="39">
        <v>20</v>
      </c>
      <c r="D49" s="9">
        <v>1157522.93</v>
      </c>
      <c r="E49" s="14" t="s">
        <v>3</v>
      </c>
      <c r="F49" s="9">
        <f t="shared" si="2"/>
        <v>57876.146499999995</v>
      </c>
      <c r="G49" s="14" t="s">
        <v>3</v>
      </c>
      <c r="H49" s="42">
        <v>0</v>
      </c>
      <c r="I49" s="14" t="s">
        <v>3</v>
      </c>
      <c r="J49" s="42">
        <v>0</v>
      </c>
      <c r="K49" s="14" t="s">
        <v>3</v>
      </c>
      <c r="L49" s="1"/>
    </row>
    <row r="50" spans="1:12" ht="64.5" x14ac:dyDescent="0.25">
      <c r="A50" s="1"/>
      <c r="B50" s="88" t="s">
        <v>322</v>
      </c>
      <c r="C50" s="39">
        <v>15</v>
      </c>
      <c r="D50" s="9">
        <v>6346490.2999999998</v>
      </c>
      <c r="E50" s="14" t="s">
        <v>3</v>
      </c>
      <c r="F50" s="9">
        <f t="shared" si="2"/>
        <v>423099.35333333333</v>
      </c>
      <c r="G50" s="14" t="s">
        <v>3</v>
      </c>
      <c r="H50" s="42">
        <v>0</v>
      </c>
      <c r="I50" s="14" t="s">
        <v>3</v>
      </c>
      <c r="J50" s="42">
        <v>150039.67000000001</v>
      </c>
      <c r="K50" s="14" t="s">
        <v>3</v>
      </c>
      <c r="L50" s="1"/>
    </row>
    <row r="51" spans="1:12" ht="51.75" x14ac:dyDescent="0.25">
      <c r="A51" s="1"/>
      <c r="B51" s="88" t="s">
        <v>323</v>
      </c>
      <c r="C51" s="39">
        <v>15</v>
      </c>
      <c r="D51" s="9">
        <v>6259934.6100000003</v>
      </c>
      <c r="E51" s="14" t="s">
        <v>3</v>
      </c>
      <c r="F51" s="9">
        <f t="shared" si="2"/>
        <v>417328.97400000005</v>
      </c>
      <c r="G51" s="14" t="s">
        <v>3</v>
      </c>
      <c r="H51" s="42">
        <v>0</v>
      </c>
      <c r="I51" s="14" t="s">
        <v>3</v>
      </c>
      <c r="J51" s="42">
        <v>147993.38</v>
      </c>
      <c r="K51" s="14" t="s">
        <v>3</v>
      </c>
      <c r="L51" s="1"/>
    </row>
    <row r="52" spans="1:12" ht="26.25" x14ac:dyDescent="0.25">
      <c r="A52" s="1"/>
      <c r="B52" s="88" t="s">
        <v>324</v>
      </c>
      <c r="C52" s="39">
        <v>10</v>
      </c>
      <c r="D52" s="9">
        <v>40717.72</v>
      </c>
      <c r="E52" s="14" t="s">
        <v>3</v>
      </c>
      <c r="F52" s="9">
        <f t="shared" si="1"/>
        <v>4071.7719999999999</v>
      </c>
      <c r="G52" s="14" t="s">
        <v>3</v>
      </c>
      <c r="H52" s="42">
        <v>0</v>
      </c>
      <c r="I52" s="14" t="s">
        <v>3</v>
      </c>
      <c r="J52" s="42">
        <v>0</v>
      </c>
      <c r="K52" s="14" t="s">
        <v>3</v>
      </c>
      <c r="L52" s="1"/>
    </row>
    <row r="53" spans="1:12" ht="39" x14ac:dyDescent="0.25">
      <c r="A53" s="1"/>
      <c r="B53" s="88" t="s">
        <v>325</v>
      </c>
      <c r="C53" s="39">
        <v>60</v>
      </c>
      <c r="D53" s="9">
        <v>6871281.3099999996</v>
      </c>
      <c r="E53" s="14" t="s">
        <v>3</v>
      </c>
      <c r="F53" s="9">
        <f t="shared" si="1"/>
        <v>114521.35516666666</v>
      </c>
      <c r="G53" s="14" t="s">
        <v>3</v>
      </c>
      <c r="H53" s="42">
        <v>0</v>
      </c>
      <c r="I53" s="14" t="s">
        <v>3</v>
      </c>
      <c r="J53" s="42">
        <v>0</v>
      </c>
      <c r="K53" s="14" t="s">
        <v>3</v>
      </c>
      <c r="L53" s="1"/>
    </row>
    <row r="54" spans="1:12" ht="26.25" x14ac:dyDescent="0.25">
      <c r="A54" s="1"/>
      <c r="B54" s="88" t="s">
        <v>326</v>
      </c>
      <c r="C54" s="39">
        <v>20</v>
      </c>
      <c r="D54" s="9">
        <v>2480107.29</v>
      </c>
      <c r="E54" s="14" t="s">
        <v>3</v>
      </c>
      <c r="F54" s="9">
        <f t="shared" si="1"/>
        <v>124005.3645</v>
      </c>
      <c r="G54" s="14" t="s">
        <v>3</v>
      </c>
      <c r="H54" s="42">
        <v>0</v>
      </c>
      <c r="I54" s="14" t="s">
        <v>3</v>
      </c>
      <c r="J54" s="42">
        <v>0</v>
      </c>
      <c r="K54" s="14" t="s">
        <v>3</v>
      </c>
      <c r="L54" s="1"/>
    </row>
    <row r="55" spans="1:12" ht="26.25" x14ac:dyDescent="0.25">
      <c r="A55" s="1"/>
      <c r="B55" s="88" t="s">
        <v>327</v>
      </c>
      <c r="C55" s="39">
        <v>10</v>
      </c>
      <c r="D55" s="9">
        <v>87241.74</v>
      </c>
      <c r="E55" s="14" t="s">
        <v>3</v>
      </c>
      <c r="F55" s="9">
        <f t="shared" si="1"/>
        <v>8724.1740000000009</v>
      </c>
      <c r="G55" s="14" t="s">
        <v>3</v>
      </c>
      <c r="H55" s="42">
        <v>0</v>
      </c>
      <c r="I55" s="14" t="s">
        <v>3</v>
      </c>
      <c r="J55" s="42">
        <v>0</v>
      </c>
      <c r="K55" s="14" t="s">
        <v>3</v>
      </c>
      <c r="L55" s="1"/>
    </row>
    <row r="56" spans="1:12" ht="39" x14ac:dyDescent="0.25">
      <c r="A56" s="1"/>
      <c r="B56" s="88" t="s">
        <v>328</v>
      </c>
      <c r="C56" s="39">
        <v>60</v>
      </c>
      <c r="D56" s="9">
        <v>28303928.969999999</v>
      </c>
      <c r="E56" s="14" t="s">
        <v>3</v>
      </c>
      <c r="F56" s="9">
        <f t="shared" si="1"/>
        <v>471732.1495</v>
      </c>
      <c r="G56" s="14" t="s">
        <v>3</v>
      </c>
      <c r="H56" s="42">
        <v>0</v>
      </c>
      <c r="I56" s="14" t="s">
        <v>3</v>
      </c>
      <c r="J56" s="42">
        <v>0</v>
      </c>
      <c r="K56" s="14" t="s">
        <v>3</v>
      </c>
      <c r="L56" s="1"/>
    </row>
    <row r="57" spans="1:12" ht="26.25" x14ac:dyDescent="0.25">
      <c r="A57" s="1"/>
      <c r="B57" s="88" t="s">
        <v>329</v>
      </c>
      <c r="C57" s="39">
        <v>20</v>
      </c>
      <c r="D57" s="9">
        <v>8463720.1199999992</v>
      </c>
      <c r="E57" s="14" t="s">
        <v>3</v>
      </c>
      <c r="F57" s="9">
        <f t="shared" si="1"/>
        <v>423186.00599999994</v>
      </c>
      <c r="G57" s="14" t="s">
        <v>3</v>
      </c>
      <c r="H57" s="42">
        <v>0</v>
      </c>
      <c r="I57" s="14" t="s">
        <v>3</v>
      </c>
      <c r="J57" s="42">
        <v>0</v>
      </c>
      <c r="K57" s="14" t="s">
        <v>3</v>
      </c>
      <c r="L57" s="1"/>
    </row>
    <row r="58" spans="1:12" ht="26.25" x14ac:dyDescent="0.25">
      <c r="A58" s="1"/>
      <c r="B58" s="88" t="s">
        <v>330</v>
      </c>
      <c r="C58" s="39">
        <v>10</v>
      </c>
      <c r="D58" s="9">
        <v>297724.89</v>
      </c>
      <c r="E58" s="14" t="s">
        <v>3</v>
      </c>
      <c r="F58" s="9">
        <f t="shared" si="1"/>
        <v>29772.489000000001</v>
      </c>
      <c r="G58" s="14" t="s">
        <v>3</v>
      </c>
      <c r="H58" s="42">
        <v>0</v>
      </c>
      <c r="I58" s="14" t="s">
        <v>3</v>
      </c>
      <c r="J58" s="42">
        <v>0</v>
      </c>
      <c r="K58" s="14" t="s">
        <v>3</v>
      </c>
      <c r="L58" s="1"/>
    </row>
    <row r="59" spans="1:12" ht="26.25" x14ac:dyDescent="0.25">
      <c r="A59" s="1"/>
      <c r="B59" s="88" t="s">
        <v>331</v>
      </c>
      <c r="C59" s="39">
        <v>60</v>
      </c>
      <c r="D59" s="9">
        <v>3518789.47</v>
      </c>
      <c r="E59" s="14" t="s">
        <v>3</v>
      </c>
      <c r="F59" s="9">
        <f t="shared" si="1"/>
        <v>58646.491166666667</v>
      </c>
      <c r="G59" s="14" t="s">
        <v>3</v>
      </c>
      <c r="H59" s="42">
        <v>0</v>
      </c>
      <c r="I59" s="14" t="s">
        <v>3</v>
      </c>
      <c r="J59" s="42">
        <v>0</v>
      </c>
      <c r="K59" s="14" t="s">
        <v>3</v>
      </c>
      <c r="L59" s="1"/>
    </row>
    <row r="60" spans="1:12" ht="26.25" x14ac:dyDescent="0.25">
      <c r="A60" s="1"/>
      <c r="B60" s="88" t="s">
        <v>332</v>
      </c>
      <c r="C60" s="39">
        <v>20</v>
      </c>
      <c r="D60" s="9">
        <v>5683754.5700000003</v>
      </c>
      <c r="E60" s="14" t="s">
        <v>3</v>
      </c>
      <c r="F60" s="9">
        <f t="shared" si="1"/>
        <v>284187.72850000003</v>
      </c>
      <c r="G60" s="14" t="s">
        <v>3</v>
      </c>
      <c r="H60" s="42">
        <v>0</v>
      </c>
      <c r="I60" s="14" t="s">
        <v>3</v>
      </c>
      <c r="J60" s="42">
        <v>0</v>
      </c>
      <c r="K60" s="14" t="s">
        <v>3</v>
      </c>
      <c r="L60" s="1"/>
    </row>
    <row r="61" spans="1:12" ht="26.25" x14ac:dyDescent="0.25">
      <c r="A61" s="1"/>
      <c r="B61" s="88" t="s">
        <v>333</v>
      </c>
      <c r="C61" s="39">
        <v>10</v>
      </c>
      <c r="D61" s="9">
        <v>199935.16</v>
      </c>
      <c r="E61" s="14" t="s">
        <v>3</v>
      </c>
      <c r="F61" s="9">
        <f t="shared" si="1"/>
        <v>19993.516</v>
      </c>
      <c r="G61" s="14" t="s">
        <v>3</v>
      </c>
      <c r="H61" s="42">
        <v>0</v>
      </c>
      <c r="I61" s="14" t="s">
        <v>3</v>
      </c>
      <c r="J61" s="42">
        <v>0</v>
      </c>
      <c r="K61" s="14" t="s">
        <v>3</v>
      </c>
      <c r="L61" s="1"/>
    </row>
    <row r="62" spans="1:12" x14ac:dyDescent="0.25">
      <c r="A62" s="1"/>
      <c r="B62" s="88" t="s">
        <v>334</v>
      </c>
      <c r="C62" s="39">
        <v>10</v>
      </c>
      <c r="D62" s="9">
        <v>732756.41</v>
      </c>
      <c r="E62" s="14" t="s">
        <v>3</v>
      </c>
      <c r="F62" s="9">
        <f t="shared" si="1"/>
        <v>73275.641000000003</v>
      </c>
      <c r="G62" s="14" t="s">
        <v>3</v>
      </c>
      <c r="H62" s="42">
        <v>0</v>
      </c>
      <c r="I62" s="14" t="s">
        <v>3</v>
      </c>
      <c r="J62" s="42">
        <v>17323.36</v>
      </c>
      <c r="K62" s="14" t="s">
        <v>3</v>
      </c>
      <c r="L62" s="1"/>
    </row>
    <row r="63" spans="1:12" x14ac:dyDescent="0.25">
      <c r="A63" s="1"/>
      <c r="B63" s="88" t="s">
        <v>335</v>
      </c>
      <c r="C63" s="39">
        <v>10</v>
      </c>
      <c r="D63" s="9">
        <v>197528.93</v>
      </c>
      <c r="E63" s="14" t="s">
        <v>3</v>
      </c>
      <c r="F63" s="9">
        <f t="shared" si="1"/>
        <v>19752.893</v>
      </c>
      <c r="G63" s="14" t="s">
        <v>3</v>
      </c>
      <c r="H63" s="42">
        <v>0</v>
      </c>
      <c r="I63" s="14" t="s">
        <v>3</v>
      </c>
      <c r="J63" s="42">
        <v>4669.8500000000004</v>
      </c>
      <c r="K63" s="14" t="s">
        <v>3</v>
      </c>
      <c r="L63" s="1"/>
    </row>
    <row r="64" spans="1:12" x14ac:dyDescent="0.25">
      <c r="A64" s="1"/>
      <c r="B64" s="88" t="s">
        <v>336</v>
      </c>
      <c r="C64" s="39">
        <v>10</v>
      </c>
      <c r="D64" s="9">
        <v>323279.40999999997</v>
      </c>
      <c r="E64" s="14" t="s">
        <v>3</v>
      </c>
      <c r="F64" s="9">
        <f t="shared" si="1"/>
        <v>32327.940999999999</v>
      </c>
      <c r="G64" s="14" t="s">
        <v>3</v>
      </c>
      <c r="H64" s="42">
        <v>0</v>
      </c>
      <c r="I64" s="14" t="s">
        <v>3</v>
      </c>
      <c r="J64" s="42">
        <v>7642.77</v>
      </c>
      <c r="K64" s="14" t="s">
        <v>3</v>
      </c>
      <c r="L64" s="1"/>
    </row>
    <row r="65" spans="1:12" x14ac:dyDescent="0.25">
      <c r="A65" s="1"/>
      <c r="B65" s="88" t="s">
        <v>337</v>
      </c>
      <c r="C65" s="39">
        <v>10</v>
      </c>
      <c r="D65" s="9">
        <v>339642.79</v>
      </c>
      <c r="E65" s="14" t="s">
        <v>3</v>
      </c>
      <c r="F65" s="9">
        <f t="shared" si="1"/>
        <v>33964.278999999995</v>
      </c>
      <c r="G65" s="14" t="s">
        <v>3</v>
      </c>
      <c r="H65" s="42">
        <v>0</v>
      </c>
      <c r="I65" s="14" t="s">
        <v>3</v>
      </c>
      <c r="J65" s="42">
        <v>8029.62</v>
      </c>
      <c r="K65" s="14" t="s">
        <v>3</v>
      </c>
      <c r="L65" s="1"/>
    </row>
    <row r="66" spans="1:12" ht="26.25" x14ac:dyDescent="0.25">
      <c r="A66" s="1"/>
      <c r="B66" s="88" t="s">
        <v>338</v>
      </c>
      <c r="C66" s="39">
        <v>10</v>
      </c>
      <c r="D66" s="9">
        <v>498469.62</v>
      </c>
      <c r="E66" s="14" t="s">
        <v>3</v>
      </c>
      <c r="F66" s="9">
        <f t="shared" ref="F66" si="3">IFERROR(D66/C66,0)</f>
        <v>49846.962</v>
      </c>
      <c r="G66" s="14" t="s">
        <v>3</v>
      </c>
      <c r="H66" s="42">
        <v>0</v>
      </c>
      <c r="I66" s="14" t="s">
        <v>3</v>
      </c>
      <c r="J66" s="42">
        <v>11784.5</v>
      </c>
      <c r="K66" s="14" t="s">
        <v>3</v>
      </c>
      <c r="L66" s="1"/>
    </row>
    <row r="67" spans="1:12" x14ac:dyDescent="0.25">
      <c r="A67" s="1"/>
      <c r="B67" s="88" t="s">
        <v>339</v>
      </c>
      <c r="C67" s="39">
        <v>10</v>
      </c>
      <c r="D67" s="9">
        <v>97999.33</v>
      </c>
      <c r="E67" s="14" t="s">
        <v>3</v>
      </c>
      <c r="F67" s="9">
        <f t="shared" si="1"/>
        <v>9799.9330000000009</v>
      </c>
      <c r="G67" s="14" t="s">
        <v>3</v>
      </c>
      <c r="H67" s="42">
        <v>0</v>
      </c>
      <c r="I67" s="14" t="s">
        <v>3</v>
      </c>
      <c r="J67" s="42">
        <v>2316.84</v>
      </c>
      <c r="K67" s="14" t="s">
        <v>3</v>
      </c>
      <c r="L67" s="1"/>
    </row>
    <row r="68" spans="1:12" x14ac:dyDescent="0.25">
      <c r="A68" s="1"/>
      <c r="B68" s="88" t="s">
        <v>340</v>
      </c>
      <c r="C68" s="39">
        <v>10</v>
      </c>
      <c r="D68" s="9">
        <v>362564.06</v>
      </c>
      <c r="E68" s="14" t="s">
        <v>3</v>
      </c>
      <c r="F68" s="9">
        <f t="shared" si="1"/>
        <v>36256.406000000003</v>
      </c>
      <c r="G68" s="14" t="s">
        <v>3</v>
      </c>
      <c r="H68" s="42">
        <v>0</v>
      </c>
      <c r="I68" s="14" t="s">
        <v>3</v>
      </c>
      <c r="J68" s="42">
        <v>8571.51</v>
      </c>
      <c r="K68" s="14" t="s">
        <v>3</v>
      </c>
      <c r="L68" s="1"/>
    </row>
    <row r="69" spans="1:12" x14ac:dyDescent="0.25">
      <c r="A69" s="1"/>
      <c r="B69" s="88" t="s">
        <v>341</v>
      </c>
      <c r="C69" s="39">
        <v>10</v>
      </c>
      <c r="D69" s="9">
        <v>521660.19</v>
      </c>
      <c r="E69" s="14" t="s">
        <v>3</v>
      </c>
      <c r="F69" s="9">
        <f t="shared" si="1"/>
        <v>52166.019</v>
      </c>
      <c r="G69" s="14" t="s">
        <v>3</v>
      </c>
      <c r="H69" s="42">
        <v>0</v>
      </c>
      <c r="I69" s="14" t="s">
        <v>3</v>
      </c>
      <c r="J69" s="42">
        <v>12332.76</v>
      </c>
      <c r="K69" s="14" t="s">
        <v>3</v>
      </c>
      <c r="L69" s="1"/>
    </row>
    <row r="70" spans="1:12" x14ac:dyDescent="0.25">
      <c r="A70" s="1"/>
      <c r="B70" s="88" t="s">
        <v>342</v>
      </c>
      <c r="C70" s="39">
        <v>10</v>
      </c>
      <c r="D70" s="9">
        <v>179298.25</v>
      </c>
      <c r="E70" s="14" t="s">
        <v>3</v>
      </c>
      <c r="F70" s="9">
        <f t="shared" si="1"/>
        <v>17929.825000000001</v>
      </c>
      <c r="G70" s="14" t="s">
        <v>3</v>
      </c>
      <c r="H70" s="42">
        <v>0</v>
      </c>
      <c r="I70" s="14" t="s">
        <v>3</v>
      </c>
      <c r="J70" s="42">
        <v>4238.8500000000004</v>
      </c>
      <c r="K70" s="14" t="s">
        <v>3</v>
      </c>
      <c r="L70" s="1"/>
    </row>
    <row r="71" spans="1:12" ht="39" x14ac:dyDescent="0.25">
      <c r="A71" s="1"/>
      <c r="B71" s="88" t="s">
        <v>343</v>
      </c>
      <c r="C71" s="39">
        <v>10</v>
      </c>
      <c r="D71" s="9">
        <v>662927.06000000006</v>
      </c>
      <c r="E71" s="14" t="s">
        <v>3</v>
      </c>
      <c r="F71" s="9">
        <f t="shared" si="1"/>
        <v>66292.706000000006</v>
      </c>
      <c r="G71" s="14" t="s">
        <v>3</v>
      </c>
      <c r="H71" s="42">
        <v>0</v>
      </c>
      <c r="I71" s="14" t="s">
        <v>3</v>
      </c>
      <c r="J71" s="42">
        <v>15672.5</v>
      </c>
      <c r="K71" s="14" t="s">
        <v>3</v>
      </c>
      <c r="L71" s="1"/>
    </row>
    <row r="72" spans="1:12" x14ac:dyDescent="0.25">
      <c r="A72" s="1"/>
      <c r="B72" s="78" t="s">
        <v>150</v>
      </c>
      <c r="C72" s="79"/>
      <c r="D72" s="80"/>
      <c r="E72" s="80"/>
      <c r="F72" s="12">
        <f>SUM(F10:F71)</f>
        <v>10719090.06781666</v>
      </c>
      <c r="G72" s="12" t="s">
        <v>163</v>
      </c>
      <c r="H72" s="12">
        <f>SUM(H10:H71)</f>
        <v>0</v>
      </c>
      <c r="I72" s="12" t="s">
        <v>163</v>
      </c>
      <c r="J72" s="12">
        <f>SUM(J10:J71)</f>
        <v>4751000.0099999979</v>
      </c>
      <c r="K72" s="13" t="s">
        <v>3</v>
      </c>
      <c r="L72" s="1"/>
    </row>
    <row r="73" spans="1:12" x14ac:dyDescent="0.25">
      <c r="A73" s="1"/>
      <c r="B73" s="1"/>
      <c r="C73" s="1"/>
      <c r="D73" s="1"/>
      <c r="E73" s="1"/>
      <c r="F73" s="1"/>
      <c r="G73" s="1"/>
      <c r="H73" s="1"/>
      <c r="I73" s="1"/>
      <c r="J73" s="1"/>
      <c r="K73" s="1"/>
      <c r="L73" s="1"/>
    </row>
    <row r="74" spans="1:12" x14ac:dyDescent="0.25">
      <c r="A74" s="1"/>
      <c r="B74" s="1"/>
      <c r="C74" s="1"/>
      <c r="D74" s="1"/>
      <c r="E74" s="1"/>
      <c r="F74" s="1"/>
      <c r="G74" s="1"/>
      <c r="H74" s="1"/>
      <c r="I74" s="1"/>
      <c r="J74" s="1"/>
      <c r="K74" s="1"/>
      <c r="L74" s="1"/>
    </row>
    <row r="75" spans="1:12" x14ac:dyDescent="0.25">
      <c r="A75" s="1"/>
      <c r="B75" s="1"/>
      <c r="C75" s="1"/>
      <c r="D75" s="1"/>
      <c r="E75" s="1"/>
      <c r="F75" s="1"/>
      <c r="G75" s="1"/>
      <c r="H75" s="1"/>
      <c r="I75" s="1"/>
      <c r="J75" s="1"/>
      <c r="K75" s="1"/>
      <c r="L75" s="1"/>
    </row>
    <row r="76" spans="1:12" x14ac:dyDescent="0.25">
      <c r="A76" s="1"/>
      <c r="B76" s="1"/>
      <c r="C76" s="1"/>
      <c r="D76" s="1"/>
      <c r="E76" s="1"/>
      <c r="F76" s="1"/>
      <c r="G76" s="1"/>
      <c r="H76" s="1"/>
      <c r="I76" s="1"/>
      <c r="J76" s="1"/>
      <c r="K76" s="1"/>
      <c r="L76" s="1"/>
    </row>
    <row r="77" spans="1:12" x14ac:dyDescent="0.25">
      <c r="A77" s="1"/>
      <c r="B77" s="1"/>
      <c r="C77" s="1"/>
      <c r="D77" s="1"/>
      <c r="E77" s="1"/>
      <c r="F77" s="1"/>
      <c r="G77" s="1"/>
      <c r="H77" s="1"/>
      <c r="I77" s="1"/>
      <c r="J77" s="1"/>
      <c r="K77" s="1"/>
      <c r="L77" s="1"/>
    </row>
    <row r="78" spans="1:12" x14ac:dyDescent="0.25">
      <c r="A78" s="1"/>
      <c r="B78" s="1"/>
      <c r="C78" s="1"/>
      <c r="D78" s="1"/>
      <c r="E78" s="1"/>
      <c r="F78" s="1"/>
      <c r="G78" s="1"/>
      <c r="H78" s="1"/>
      <c r="I78" s="1"/>
      <c r="J78" s="1"/>
      <c r="K78" s="1"/>
      <c r="L78" s="1"/>
    </row>
    <row r="79" spans="1:12" x14ac:dyDescent="0.25">
      <c r="A79" s="1"/>
      <c r="B79" s="1"/>
      <c r="C79" s="1"/>
      <c r="D79" s="1"/>
      <c r="E79" s="1"/>
      <c r="F79" s="1"/>
      <c r="G79" s="1"/>
      <c r="H79" s="1"/>
      <c r="I79" s="1"/>
      <c r="J79" s="1"/>
      <c r="K79" s="1"/>
      <c r="L79" s="1"/>
    </row>
    <row r="80" spans="1:12" x14ac:dyDescent="0.25">
      <c r="A80" s="1"/>
      <c r="B80" s="1"/>
      <c r="C80" s="1"/>
      <c r="D80" s="1"/>
      <c r="E80" s="1"/>
      <c r="F80" s="1"/>
      <c r="G80" s="1"/>
      <c r="H80" s="1"/>
      <c r="I80" s="1"/>
      <c r="J80" s="1"/>
      <c r="K80" s="1"/>
      <c r="L80" s="1"/>
    </row>
    <row r="81" spans="1:12" x14ac:dyDescent="0.25">
      <c r="A81" s="1"/>
      <c r="B81" s="1"/>
      <c r="C81" s="1"/>
      <c r="D81" s="1"/>
      <c r="E81" s="1"/>
      <c r="F81" s="1"/>
      <c r="G81" s="1"/>
      <c r="H81" s="1"/>
      <c r="I81" s="1"/>
      <c r="J81" s="1"/>
      <c r="K81" s="1"/>
      <c r="L81" s="1"/>
    </row>
    <row r="82" spans="1:12" x14ac:dyDescent="0.25">
      <c r="A82" s="1"/>
      <c r="B82" s="1"/>
      <c r="C82" s="1"/>
      <c r="D82" s="1"/>
      <c r="E82" s="1"/>
      <c r="F82" s="1"/>
      <c r="G82" s="1"/>
      <c r="H82" s="1"/>
      <c r="I82" s="1"/>
      <c r="J82" s="1"/>
      <c r="K82" s="1"/>
      <c r="L82" s="1"/>
    </row>
    <row r="83" spans="1:12" x14ac:dyDescent="0.25">
      <c r="A83" s="1"/>
      <c r="B83" s="1"/>
      <c r="C83" s="1"/>
      <c r="D83" s="1"/>
      <c r="E83" s="1"/>
      <c r="F83" s="1"/>
      <c r="G83" s="1"/>
      <c r="H83" s="1"/>
      <c r="I83" s="1"/>
      <c r="J83" s="1"/>
      <c r="K83" s="1"/>
      <c r="L83" s="1"/>
    </row>
    <row r="84" spans="1:12" x14ac:dyDescent="0.25">
      <c r="A84" s="1"/>
      <c r="B84" s="1"/>
      <c r="C84" s="1"/>
      <c r="D84" s="1"/>
      <c r="E84" s="1"/>
      <c r="F84" s="1"/>
      <c r="G84" s="1"/>
      <c r="H84" s="1"/>
      <c r="I84" s="1"/>
      <c r="J84" s="1"/>
      <c r="K84" s="1"/>
      <c r="L84" s="1"/>
    </row>
    <row r="85" spans="1:12" x14ac:dyDescent="0.25">
      <c r="A85" s="1"/>
      <c r="B85" s="1"/>
      <c r="C85" s="1"/>
      <c r="D85" s="1"/>
      <c r="E85" s="1"/>
      <c r="F85" s="1"/>
      <c r="G85" s="1"/>
      <c r="H85" s="1"/>
      <c r="I85" s="1"/>
      <c r="J85" s="1"/>
      <c r="K85" s="1"/>
      <c r="L85" s="1"/>
    </row>
    <row r="86" spans="1:12" x14ac:dyDescent="0.25">
      <c r="A86" s="1"/>
      <c r="B86" s="1"/>
      <c r="C86" s="1"/>
      <c r="D86" s="1"/>
      <c r="E86" s="1"/>
      <c r="F86" s="1"/>
      <c r="G86" s="1"/>
      <c r="H86" s="1"/>
      <c r="I86" s="1"/>
      <c r="J86" s="1"/>
      <c r="K86" s="1"/>
      <c r="L86" s="1"/>
    </row>
    <row r="87" spans="1:12" x14ac:dyDescent="0.25">
      <c r="A87" s="1"/>
      <c r="B87" s="1"/>
      <c r="C87" s="1"/>
      <c r="D87" s="1"/>
      <c r="E87" s="1"/>
      <c r="F87" s="1"/>
      <c r="G87" s="1"/>
      <c r="H87" s="1"/>
      <c r="I87" s="1"/>
      <c r="J87" s="1"/>
      <c r="K87" s="1"/>
      <c r="L87" s="1"/>
    </row>
    <row r="88" spans="1:12" x14ac:dyDescent="0.25">
      <c r="A88" s="1"/>
      <c r="B88" s="1"/>
      <c r="C88" s="1"/>
      <c r="D88" s="1"/>
      <c r="E88" s="1"/>
      <c r="F88" s="1"/>
      <c r="G88" s="1"/>
      <c r="H88" s="1"/>
      <c r="I88" s="1"/>
      <c r="J88" s="1"/>
      <c r="K88" s="1"/>
      <c r="L88" s="1"/>
    </row>
    <row r="89" spans="1:12" x14ac:dyDescent="0.25">
      <c r="A89" s="1"/>
      <c r="B89" s="1"/>
      <c r="C89" s="1"/>
      <c r="D89" s="1"/>
      <c r="E89" s="1"/>
      <c r="F89" s="1"/>
      <c r="G89" s="1"/>
      <c r="H89" s="1"/>
      <c r="I89" s="1"/>
      <c r="J89" s="1"/>
      <c r="K89" s="1"/>
      <c r="L89" s="1"/>
    </row>
    <row r="90" spans="1:12" x14ac:dyDescent="0.25">
      <c r="A90" s="1"/>
      <c r="B90" s="1"/>
      <c r="C90" s="1"/>
      <c r="D90" s="1"/>
      <c r="E90" s="1"/>
      <c r="F90" s="1"/>
      <c r="G90" s="1"/>
      <c r="H90" s="1"/>
      <c r="I90" s="1"/>
      <c r="J90" s="1"/>
      <c r="K90" s="1"/>
      <c r="L90" s="1"/>
    </row>
    <row r="91" spans="1:12" x14ac:dyDescent="0.25">
      <c r="A91" s="1"/>
      <c r="B91" s="1"/>
      <c r="C91" s="1"/>
      <c r="D91" s="1"/>
      <c r="E91" s="1"/>
      <c r="F91" s="1"/>
      <c r="G91" s="1"/>
      <c r="H91" s="1"/>
      <c r="I91" s="1"/>
      <c r="J91" s="1"/>
      <c r="K91" s="1"/>
      <c r="L91" s="1"/>
    </row>
    <row r="92" spans="1:12" x14ac:dyDescent="0.25">
      <c r="A92" s="1"/>
      <c r="B92" s="1"/>
      <c r="C92" s="1"/>
      <c r="D92" s="1"/>
      <c r="E92" s="1"/>
      <c r="F92" s="1"/>
      <c r="G92" s="1"/>
      <c r="H92" s="1"/>
      <c r="I92" s="1"/>
      <c r="J92" s="1"/>
      <c r="K92" s="1"/>
      <c r="L92" s="1"/>
    </row>
    <row r="93" spans="1:12" x14ac:dyDescent="0.25">
      <c r="A93" s="1"/>
      <c r="B93" s="1"/>
      <c r="C93" s="1"/>
      <c r="D93" s="1"/>
      <c r="E93" s="1"/>
      <c r="F93" s="1"/>
      <c r="G93" s="1"/>
      <c r="H93" s="1"/>
      <c r="I93" s="1"/>
      <c r="J93" s="1"/>
      <c r="K93" s="1"/>
      <c r="L93" s="1"/>
    </row>
    <row r="94" spans="1:12" x14ac:dyDescent="0.25">
      <c r="A94" s="1"/>
      <c r="B94" s="1"/>
      <c r="C94" s="1"/>
      <c r="D94" s="1"/>
      <c r="E94" s="1"/>
      <c r="F94" s="1"/>
      <c r="G94" s="1"/>
      <c r="H94" s="1"/>
      <c r="I94" s="1"/>
      <c r="J94" s="1"/>
      <c r="K94" s="1"/>
      <c r="L94" s="1"/>
    </row>
    <row r="95" spans="1:12" x14ac:dyDescent="0.25">
      <c r="A95" s="1"/>
      <c r="B95" s="1"/>
      <c r="C95" s="1"/>
      <c r="D95" s="1"/>
      <c r="E95" s="1"/>
      <c r="F95" s="1"/>
      <c r="G95" s="1"/>
      <c r="H95" s="1"/>
      <c r="I95" s="1"/>
      <c r="J95" s="1"/>
      <c r="K95" s="1"/>
      <c r="L95" s="1"/>
    </row>
    <row r="96" spans="1:12" x14ac:dyDescent="0.25">
      <c r="A96" s="1"/>
      <c r="B96" s="1"/>
      <c r="C96" s="1"/>
      <c r="D96" s="1"/>
      <c r="E96" s="1"/>
      <c r="F96" s="1"/>
      <c r="G96" s="1"/>
      <c r="H96" s="1"/>
      <c r="I96" s="1"/>
      <c r="J96" s="1"/>
      <c r="K96" s="1"/>
      <c r="L96" s="1"/>
    </row>
    <row r="97" spans="1:12" x14ac:dyDescent="0.25">
      <c r="A97" s="49"/>
      <c r="B97" s="49"/>
      <c r="C97" s="49"/>
      <c r="D97" s="49"/>
      <c r="E97" s="49"/>
      <c r="F97" s="49"/>
      <c r="G97" s="49"/>
      <c r="H97" s="49"/>
      <c r="I97" s="49"/>
      <c r="J97" s="49"/>
      <c r="K97" s="49"/>
      <c r="L97" s="49"/>
    </row>
    <row r="98" spans="1:12" x14ac:dyDescent="0.25">
      <c r="A98" s="49"/>
      <c r="B98" s="49"/>
      <c r="C98" s="49"/>
      <c r="D98" s="49"/>
      <c r="E98" s="49"/>
      <c r="F98" s="49"/>
      <c r="G98" s="49"/>
      <c r="H98" s="49"/>
      <c r="I98" s="49"/>
      <c r="J98" s="49"/>
      <c r="K98" s="49"/>
      <c r="L98" s="49"/>
    </row>
  </sheetData>
  <sheetProtection algorithmName="SHA-512" hashValue="gcGMrKDDnv6qT5l8wOpuAUTomR46GcpOVss+5GzntrnwOHXVEcDUw0aBxIPN6a9+opwdMY+OMpU4tpNaed8aaw==" saltValue="EL9hh8rci/1x21zxwimed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183</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9" t="s">
        <v>17</v>
      </c>
      <c r="C9" s="89" t="s">
        <v>11</v>
      </c>
      <c r="D9" s="90"/>
      <c r="E9" s="89" t="s">
        <v>28</v>
      </c>
      <c r="F9" s="32"/>
      <c r="G9" s="1"/>
    </row>
    <row r="10" spans="1:7" x14ac:dyDescent="0.25">
      <c r="A10" s="1"/>
      <c r="B10" s="24" t="s">
        <v>153</v>
      </c>
      <c r="C10" s="21">
        <f>'Fane 10. Anlægsprojekter (§ 19)'!H72</f>
        <v>0</v>
      </c>
      <c r="D10" s="14" t="s">
        <v>3</v>
      </c>
      <c r="E10" s="9">
        <f>SUM('Fane 10. Anlægsprojekter (§ 19)'!F72,'Fane 10. Anlægsprojekter (§ 19)'!J72)</f>
        <v>15470090.077816658</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15470090.077816658</v>
      </c>
      <c r="F19" s="13" t="s">
        <v>3</v>
      </c>
      <c r="G19" s="1"/>
    </row>
    <row r="20" spans="1:7" x14ac:dyDescent="0.25">
      <c r="A20" s="1"/>
      <c r="B20" s="33" t="s">
        <v>233</v>
      </c>
      <c r="C20" s="12">
        <f>C19*(1+'Fane 15. Nøgletal'!C16)</f>
        <v>0</v>
      </c>
      <c r="D20" s="13" t="s">
        <v>3</v>
      </c>
      <c r="E20" s="12">
        <f>E19*(1+'Fane 15. Nøgletal'!C16)</f>
        <v>16720073.356104244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48gQgFaxfQMUYnL/CvDhhzUBPyiejhWafeLLUNxI0dCHpBstqGvZZK27q67Yhdd9hnug4r1CLCQuvgLX5dXlFA==" saltValue="JKb5M5ZC7vMIgCVRsw+BN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184</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0" t="s">
        <v>260</v>
      </c>
      <c r="C8" s="121"/>
      <c r="D8" s="121"/>
      <c r="E8" s="121"/>
      <c r="F8" s="122"/>
      <c r="G8" s="1"/>
    </row>
    <row r="9" spans="1:7" x14ac:dyDescent="0.25">
      <c r="A9" s="1"/>
      <c r="B9" s="89" t="s">
        <v>17</v>
      </c>
      <c r="C9" s="89" t="s">
        <v>11</v>
      </c>
      <c r="D9" s="90"/>
      <c r="E9" s="89" t="s">
        <v>28</v>
      </c>
      <c r="F9" s="32"/>
      <c r="G9" s="1"/>
    </row>
    <row r="10" spans="1:7" x14ac:dyDescent="0.25">
      <c r="A10" s="1"/>
      <c r="B10" s="24"/>
      <c r="C10" s="21"/>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2"/>
      <c r="C16" s="152"/>
      <c r="D16" s="152"/>
      <c r="E16" s="152"/>
      <c r="F16" s="152"/>
      <c r="G16" s="1"/>
    </row>
    <row r="17" spans="1:7" x14ac:dyDescent="0.25">
      <c r="A17" s="1"/>
      <c r="B17" s="53"/>
      <c r="C17" s="53"/>
      <c r="D17" s="53"/>
      <c r="E17" s="53"/>
      <c r="F17" s="54"/>
      <c r="G17" s="1"/>
    </row>
    <row r="18" spans="1:7" x14ac:dyDescent="0.25">
      <c r="A18" s="1"/>
      <c r="B18" s="55"/>
      <c r="C18" s="56"/>
      <c r="D18" s="57"/>
      <c r="E18" s="58"/>
      <c r="F18" s="57"/>
      <c r="G18" s="1"/>
    </row>
    <row r="19" spans="1:7" x14ac:dyDescent="0.25">
      <c r="A19" s="1"/>
      <c r="B19" s="55"/>
      <c r="C19" s="56"/>
      <c r="D19" s="57"/>
      <c r="E19" s="58"/>
      <c r="F19" s="57"/>
      <c r="G19" s="1"/>
    </row>
    <row r="20" spans="1:7" x14ac:dyDescent="0.25">
      <c r="A20" s="1"/>
      <c r="B20" s="59"/>
      <c r="C20" s="60"/>
      <c r="D20" s="61"/>
      <c r="E20" s="60"/>
      <c r="F20" s="61"/>
      <c r="G20" s="1"/>
    </row>
    <row r="21" spans="1:7" x14ac:dyDescent="0.25">
      <c r="A21" s="1"/>
      <c r="B21" s="59"/>
      <c r="C21" s="60"/>
      <c r="D21" s="61"/>
      <c r="E21" s="60"/>
      <c r="F21" s="61"/>
      <c r="G21" s="1"/>
    </row>
    <row r="22" spans="1:7" x14ac:dyDescent="0.25">
      <c r="A22" s="1"/>
      <c r="B22" s="52"/>
      <c r="C22" s="52"/>
      <c r="D22" s="52"/>
      <c r="E22" s="52"/>
      <c r="F22" s="52"/>
      <c r="G22" s="1"/>
    </row>
    <row r="23" spans="1:7" x14ac:dyDescent="0.25">
      <c r="A23" s="1"/>
      <c r="B23" s="152"/>
      <c r="C23" s="152"/>
      <c r="D23" s="152"/>
      <c r="E23" s="152"/>
      <c r="F23" s="152"/>
      <c r="G23" s="1"/>
    </row>
    <row r="24" spans="1:7" x14ac:dyDescent="0.25">
      <c r="A24" s="1"/>
      <c r="B24" s="53"/>
      <c r="C24" s="53"/>
      <c r="D24" s="53"/>
      <c r="E24" s="53"/>
      <c r="F24" s="54"/>
      <c r="G24" s="1"/>
    </row>
    <row r="25" spans="1:7" x14ac:dyDescent="0.25">
      <c r="A25" s="1"/>
      <c r="B25" s="55"/>
      <c r="C25" s="56"/>
      <c r="D25" s="57"/>
      <c r="E25" s="58"/>
      <c r="F25" s="57"/>
      <c r="G25" s="1"/>
    </row>
    <row r="26" spans="1:7" x14ac:dyDescent="0.25">
      <c r="A26" s="1"/>
      <c r="B26" s="55"/>
      <c r="C26" s="56"/>
      <c r="D26" s="57"/>
      <c r="E26" s="58"/>
      <c r="F26" s="57"/>
      <c r="G26" s="1"/>
    </row>
    <row r="27" spans="1:7" x14ac:dyDescent="0.25">
      <c r="A27" s="1"/>
      <c r="B27" s="59"/>
      <c r="C27" s="60"/>
      <c r="D27" s="61"/>
      <c r="E27" s="60"/>
      <c r="F27" s="61"/>
      <c r="G27" s="1"/>
    </row>
    <row r="28" spans="1:7" x14ac:dyDescent="0.25">
      <c r="A28" s="1"/>
      <c r="B28" s="59"/>
      <c r="C28" s="60"/>
      <c r="D28" s="61"/>
      <c r="E28" s="60"/>
      <c r="F28" s="61"/>
      <c r="G28" s="1"/>
    </row>
    <row r="29" spans="1:7" x14ac:dyDescent="0.25">
      <c r="A29" s="1"/>
      <c r="B29" s="52"/>
      <c r="C29" s="52"/>
      <c r="D29" s="52"/>
      <c r="E29" s="52"/>
      <c r="F29" s="52"/>
      <c r="G29" s="1"/>
    </row>
    <row r="30" spans="1:7" x14ac:dyDescent="0.25">
      <c r="A30" s="1"/>
      <c r="B30" s="152"/>
      <c r="C30" s="152"/>
      <c r="D30" s="152"/>
      <c r="E30" s="152"/>
      <c r="F30" s="152"/>
      <c r="G30" s="1"/>
    </row>
    <row r="31" spans="1:7" x14ac:dyDescent="0.25">
      <c r="A31" s="1"/>
      <c r="B31" s="53"/>
      <c r="C31" s="53"/>
      <c r="D31" s="53"/>
      <c r="E31" s="53"/>
      <c r="F31" s="54"/>
      <c r="G31" s="1"/>
    </row>
    <row r="32" spans="1:7" x14ac:dyDescent="0.25">
      <c r="A32" s="1"/>
      <c r="B32" s="55"/>
      <c r="C32" s="56"/>
      <c r="D32" s="57"/>
      <c r="E32" s="58"/>
      <c r="F32" s="57"/>
      <c r="G32" s="1"/>
    </row>
    <row r="33" spans="1:7" x14ac:dyDescent="0.25">
      <c r="A33" s="1"/>
      <c r="B33" s="55"/>
      <c r="C33" s="56"/>
      <c r="D33" s="57"/>
      <c r="E33" s="58"/>
      <c r="F33" s="57"/>
      <c r="G33" s="1"/>
    </row>
    <row r="34" spans="1:7" x14ac:dyDescent="0.25">
      <c r="A34" s="1"/>
      <c r="B34" s="59"/>
      <c r="C34" s="60"/>
      <c r="D34" s="61"/>
      <c r="E34" s="60"/>
      <c r="F34" s="61"/>
      <c r="G34" s="1"/>
    </row>
    <row r="35" spans="1:7" x14ac:dyDescent="0.25">
      <c r="A35" s="1"/>
      <c r="B35" s="59"/>
      <c r="C35" s="60"/>
      <c r="D35" s="61"/>
      <c r="E35" s="60"/>
      <c r="F35" s="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dl8QjHgL8jttUPH0ZyI53Pz2z63u4QFyRh/bhX8U19JbTy5XiCO1H6/RQ/oiqAi9wNjRTYc9FYkMJoy4WTs1g==" saltValue="csCFVBBuox5NwUnL2bT0R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185</v>
      </c>
      <c r="C3" s="116"/>
      <c r="D3" s="116"/>
      <c r="E3" s="116"/>
      <c r="F3" s="116"/>
      <c r="G3" s="1"/>
    </row>
    <row r="4" spans="1:7" ht="15" customHeight="1" x14ac:dyDescent="0.25">
      <c r="A4" s="1"/>
      <c r="B4" s="116"/>
      <c r="C4" s="116"/>
      <c r="D4" s="116"/>
      <c r="E4" s="116"/>
      <c r="F4" s="116"/>
      <c r="G4" s="1"/>
    </row>
    <row r="5" spans="1:7" x14ac:dyDescent="0.25">
      <c r="A5" s="1"/>
      <c r="B5" s="116"/>
      <c r="C5" s="116"/>
      <c r="D5" s="116"/>
      <c r="E5" s="116"/>
      <c r="F5" s="116"/>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0" t="s">
        <v>110</v>
      </c>
      <c r="C9" s="121"/>
      <c r="D9" s="121"/>
      <c r="E9" s="121"/>
      <c r="F9" s="122"/>
      <c r="G9" s="1"/>
    </row>
    <row r="10" spans="1:7" x14ac:dyDescent="0.25">
      <c r="A10" s="1"/>
      <c r="B10" s="144" t="s">
        <v>236</v>
      </c>
      <c r="C10" s="145"/>
      <c r="D10" s="146"/>
      <c r="E10" s="9">
        <v>0</v>
      </c>
      <c r="F10" s="14" t="s">
        <v>3</v>
      </c>
      <c r="G10" s="1"/>
    </row>
    <row r="11" spans="1:7" x14ac:dyDescent="0.25">
      <c r="A11" s="1"/>
      <c r="B11" s="153" t="s">
        <v>10</v>
      </c>
      <c r="C11" s="154"/>
      <c r="D11" s="155"/>
      <c r="E11" s="9">
        <f>-E10*'Fane 5. Individuelt eff. krav'!G9</f>
        <v>0</v>
      </c>
      <c r="F11" s="14" t="s">
        <v>3</v>
      </c>
      <c r="G11" s="1"/>
    </row>
    <row r="12" spans="1:7" x14ac:dyDescent="0.25">
      <c r="A12" s="1"/>
      <c r="B12" s="153" t="s">
        <v>23</v>
      </c>
      <c r="C12" s="154"/>
      <c r="D12" s="155"/>
      <c r="E12" s="9">
        <f>-E10*'Fane 15. Nøgletal'!C33</f>
        <v>0</v>
      </c>
      <c r="F12" s="14" t="s">
        <v>3</v>
      </c>
      <c r="G12" s="1"/>
    </row>
    <row r="13" spans="1:7" x14ac:dyDescent="0.25">
      <c r="A13" s="1"/>
      <c r="B13" s="120" t="s">
        <v>111</v>
      </c>
      <c r="C13" s="121"/>
      <c r="D13" s="122"/>
      <c r="E13" s="12">
        <f>SUM(E10:E12)*(1+'Fane 15. Nøgletal'!C16)^2</f>
        <v>0</v>
      </c>
      <c r="F13" s="13" t="s">
        <v>3</v>
      </c>
      <c r="G13" s="1"/>
    </row>
    <row r="14" spans="1:7" x14ac:dyDescent="0.25">
      <c r="A14" s="1"/>
      <c r="B14" s="1"/>
      <c r="C14" s="1"/>
      <c r="D14" s="1"/>
      <c r="E14" s="1"/>
      <c r="F14" s="1"/>
      <c r="G14" s="1"/>
    </row>
    <row r="15" spans="1:7" ht="15" customHeight="1" x14ac:dyDescent="0.25">
      <c r="A15" s="1"/>
      <c r="B15" s="120" t="s">
        <v>124</v>
      </c>
      <c r="C15" s="121"/>
      <c r="D15" s="121"/>
      <c r="E15" s="121"/>
      <c r="F15" s="122"/>
      <c r="G15" s="1"/>
    </row>
    <row r="16" spans="1:7" x14ac:dyDescent="0.25">
      <c r="A16" s="1"/>
      <c r="B16" s="144" t="s">
        <v>236</v>
      </c>
      <c r="C16" s="145"/>
      <c r="D16" s="146"/>
      <c r="E16" s="9">
        <v>0</v>
      </c>
      <c r="F16" s="14" t="s">
        <v>3</v>
      </c>
      <c r="G16" s="1"/>
    </row>
    <row r="17" spans="1:7" x14ac:dyDescent="0.25">
      <c r="A17" s="1"/>
      <c r="B17" s="153" t="s">
        <v>10</v>
      </c>
      <c r="C17" s="154"/>
      <c r="D17" s="155"/>
      <c r="E17" s="9">
        <f>-E16*'Fane 5. Individuelt eff. krav'!G9</f>
        <v>0</v>
      </c>
      <c r="F17" s="14" t="s">
        <v>3</v>
      </c>
      <c r="G17" s="1"/>
    </row>
    <row r="18" spans="1:7" x14ac:dyDescent="0.25">
      <c r="A18" s="1"/>
      <c r="B18" s="153" t="s">
        <v>23</v>
      </c>
      <c r="C18" s="154"/>
      <c r="D18" s="155"/>
      <c r="E18" s="9">
        <f>-E16*'Fane 15. Nøgletal'!C33</f>
        <v>0</v>
      </c>
      <c r="F18" s="14" t="s">
        <v>3</v>
      </c>
      <c r="G18" s="1"/>
    </row>
    <row r="19" spans="1:7" x14ac:dyDescent="0.25">
      <c r="A19" s="1"/>
      <c r="B19" s="120" t="s">
        <v>125</v>
      </c>
      <c r="C19" s="121"/>
      <c r="D19" s="122"/>
      <c r="E19" s="12">
        <f>SUM(E16:E18)*(1+'Fane 15. Nøgletal'!C16)^3</f>
        <v>0</v>
      </c>
      <c r="F19" s="13" t="s">
        <v>3</v>
      </c>
      <c r="G19" s="1"/>
    </row>
    <row r="20" spans="1:7" x14ac:dyDescent="0.25">
      <c r="A20" s="1"/>
      <c r="B20" s="1"/>
      <c r="C20" s="1"/>
      <c r="D20" s="1"/>
      <c r="E20" s="1"/>
      <c r="F20" s="1"/>
      <c r="G20" s="1"/>
    </row>
    <row r="21" spans="1:7" ht="15" customHeight="1" x14ac:dyDescent="0.25">
      <c r="A21" s="1"/>
      <c r="B21" s="120" t="s">
        <v>145</v>
      </c>
      <c r="C21" s="121"/>
      <c r="D21" s="121"/>
      <c r="E21" s="121"/>
      <c r="F21" s="122"/>
      <c r="G21" s="1"/>
    </row>
    <row r="22" spans="1:7" x14ac:dyDescent="0.25">
      <c r="A22" s="1"/>
      <c r="B22" s="144" t="s">
        <v>236</v>
      </c>
      <c r="C22" s="145"/>
      <c r="D22" s="146"/>
      <c r="E22" s="9">
        <v>0</v>
      </c>
      <c r="F22" s="14" t="s">
        <v>3</v>
      </c>
      <c r="G22" s="1"/>
    </row>
    <row r="23" spans="1:7" x14ac:dyDescent="0.25">
      <c r="A23" s="1"/>
      <c r="B23" s="153" t="s">
        <v>10</v>
      </c>
      <c r="C23" s="154"/>
      <c r="D23" s="155"/>
      <c r="E23" s="9">
        <f>-E22*'Fane 5. Individuelt eff. krav'!G9</f>
        <v>0</v>
      </c>
      <c r="F23" s="14" t="s">
        <v>3</v>
      </c>
      <c r="G23" s="1"/>
    </row>
    <row r="24" spans="1:7" x14ac:dyDescent="0.25">
      <c r="A24" s="1"/>
      <c r="B24" s="153" t="s">
        <v>23</v>
      </c>
      <c r="C24" s="154"/>
      <c r="D24" s="155"/>
      <c r="E24" s="9">
        <f>-E22*'Fane 15. Nøgletal'!C33</f>
        <v>0</v>
      </c>
      <c r="F24" s="14" t="s">
        <v>3</v>
      </c>
      <c r="G24" s="1"/>
    </row>
    <row r="25" spans="1:7" x14ac:dyDescent="0.25">
      <c r="A25" s="1"/>
      <c r="B25" s="120" t="s">
        <v>146</v>
      </c>
      <c r="C25" s="121"/>
      <c r="D25" s="122"/>
      <c r="E25" s="12">
        <f>SUM(E22:E24)*(1+'Fane 15. Nøgletal'!C16)^4</f>
        <v>0</v>
      </c>
      <c r="F25" s="13" t="s">
        <v>3</v>
      </c>
      <c r="G25" s="1"/>
    </row>
    <row r="26" spans="1:7" x14ac:dyDescent="0.25">
      <c r="A26" s="1"/>
      <c r="B26" s="1"/>
      <c r="C26" s="1"/>
      <c r="D26" s="1"/>
      <c r="E26" s="1"/>
      <c r="F26" s="1"/>
      <c r="G26" s="1"/>
    </row>
    <row r="27" spans="1:7" ht="15" customHeight="1" x14ac:dyDescent="0.25">
      <c r="A27" s="1"/>
      <c r="B27" s="120" t="s">
        <v>237</v>
      </c>
      <c r="C27" s="121"/>
      <c r="D27" s="121"/>
      <c r="E27" s="121"/>
      <c r="F27" s="122"/>
      <c r="G27" s="1"/>
    </row>
    <row r="28" spans="1:7" ht="14.25" customHeight="1" x14ac:dyDescent="0.25">
      <c r="A28" s="1"/>
      <c r="B28" s="144" t="s">
        <v>236</v>
      </c>
      <c r="C28" s="145"/>
      <c r="D28" s="146"/>
      <c r="E28" s="9">
        <v>0</v>
      </c>
      <c r="F28" s="14" t="s">
        <v>3</v>
      </c>
      <c r="G28" s="1"/>
    </row>
    <row r="29" spans="1:7" x14ac:dyDescent="0.25">
      <c r="A29" s="1"/>
      <c r="B29" s="153" t="s">
        <v>10</v>
      </c>
      <c r="C29" s="154"/>
      <c r="D29" s="155"/>
      <c r="E29" s="9">
        <f>-E28*'Fane 5. Individuelt eff. krav'!G9</f>
        <v>0</v>
      </c>
      <c r="F29" s="14" t="s">
        <v>3</v>
      </c>
      <c r="G29" s="1"/>
    </row>
    <row r="30" spans="1:7" x14ac:dyDescent="0.25">
      <c r="A30" s="1"/>
      <c r="B30" s="153" t="s">
        <v>23</v>
      </c>
      <c r="C30" s="154"/>
      <c r="D30" s="155"/>
      <c r="E30" s="9">
        <f>-E28*'Fane 15. Nøgletal'!C33</f>
        <v>0</v>
      </c>
      <c r="F30" s="14" t="s">
        <v>3</v>
      </c>
      <c r="G30" s="1"/>
    </row>
    <row r="31" spans="1:7" x14ac:dyDescent="0.25">
      <c r="A31" s="1"/>
      <c r="B31" s="120" t="s">
        <v>238</v>
      </c>
      <c r="C31" s="121"/>
      <c r="D31" s="122"/>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HzwILuR+8kiAIa1fTkPx663zF60Xq3rjgR5OtHxemtL098kVKZAQx7o7h6OxOqSrfKQ64jby5Hf22piiGidiQ==" saltValue="mpLP6v1CRX5gwauWw9NtP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186</v>
      </c>
      <c r="C3" s="116"/>
      <c r="D3" s="116"/>
      <c r="E3" s="116"/>
      <c r="F3" s="116"/>
      <c r="G3" s="1"/>
    </row>
    <row r="4" spans="1:7" ht="25.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0" t="s">
        <v>112</v>
      </c>
      <c r="C8" s="121"/>
      <c r="D8" s="121"/>
      <c r="E8" s="121"/>
      <c r="F8" s="122"/>
      <c r="G8" s="1"/>
    </row>
    <row r="9" spans="1:7" ht="15" customHeight="1" x14ac:dyDescent="0.25">
      <c r="A9" s="1"/>
      <c r="B9" s="31" t="s">
        <v>113</v>
      </c>
      <c r="C9" s="31" t="s">
        <v>11</v>
      </c>
      <c r="D9" s="32"/>
      <c r="E9" s="31" t="s">
        <v>28</v>
      </c>
      <c r="F9" s="32"/>
      <c r="G9" s="1"/>
    </row>
    <row r="10" spans="1:7" ht="26.25" x14ac:dyDescent="0.25">
      <c r="A10" s="1"/>
      <c r="B10" s="72" t="s">
        <v>268</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ioHcAOCuCWOCc1ONREBhQCjEEUVOn/faYJ6EpLkdlTU3fPKcA6uZEVSn79/oqXpPCQ/3+uKXDr06y8IiE48fhQ==" saltValue="5lMgYu1bigxzAvoI6Qbcd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187</v>
      </c>
      <c r="C3" s="116"/>
      <c r="D3" s="116"/>
      <c r="E3" s="116"/>
      <c r="F3" s="116"/>
      <c r="G3" s="1"/>
    </row>
    <row r="4" spans="1:7" ht="25.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0" t="s">
        <v>240</v>
      </c>
      <c r="C9" s="121"/>
      <c r="D9" s="121"/>
      <c r="E9" s="121"/>
      <c r="F9" s="122"/>
      <c r="G9" s="1"/>
    </row>
    <row r="10" spans="1:7" ht="26.25" customHeight="1" x14ac:dyDescent="0.25">
      <c r="A10" s="1"/>
      <c r="B10" s="31" t="s">
        <v>18</v>
      </c>
      <c r="C10" s="147" t="s">
        <v>11</v>
      </c>
      <c r="D10" s="149"/>
      <c r="E10" s="147" t="s">
        <v>28</v>
      </c>
      <c r="F10" s="149"/>
      <c r="G10" s="1"/>
    </row>
    <row r="11" spans="1:7" x14ac:dyDescent="0.25">
      <c r="A11" s="1"/>
      <c r="B11" s="72" t="s">
        <v>269</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2"/>
      <c r="C15" s="152"/>
      <c r="D15" s="152"/>
      <c r="E15" s="152"/>
      <c r="F15" s="152"/>
      <c r="G15" s="1"/>
    </row>
    <row r="16" spans="1:7" x14ac:dyDescent="0.25">
      <c r="A16" s="1"/>
      <c r="B16" s="54"/>
      <c r="C16" s="54"/>
      <c r="D16" s="54"/>
      <c r="E16" s="54"/>
      <c r="F16" s="54"/>
      <c r="G16" s="1"/>
    </row>
    <row r="17" spans="1:7" x14ac:dyDescent="0.25">
      <c r="A17" s="1"/>
      <c r="B17" s="55"/>
      <c r="C17" s="58"/>
      <c r="D17" s="57"/>
      <c r="E17" s="58"/>
      <c r="F17" s="57"/>
      <c r="G17" s="1"/>
    </row>
    <row r="18" spans="1:7" x14ac:dyDescent="0.25">
      <c r="A18" s="1"/>
      <c r="B18" s="59"/>
      <c r="C18" s="60"/>
      <c r="D18" s="61"/>
      <c r="E18" s="60"/>
      <c r="F18" s="61"/>
      <c r="G18" s="1"/>
    </row>
    <row r="19" spans="1:7" x14ac:dyDescent="0.25">
      <c r="A19" s="1"/>
      <c r="B19" s="59"/>
      <c r="C19" s="60"/>
      <c r="D19" s="61"/>
      <c r="E19" s="60"/>
      <c r="F19" s="61"/>
      <c r="G19" s="1"/>
    </row>
    <row r="20" spans="1:7" x14ac:dyDescent="0.25">
      <c r="A20" s="1"/>
      <c r="B20" s="52"/>
      <c r="C20" s="52"/>
      <c r="D20" s="52"/>
      <c r="E20" s="52"/>
      <c r="F20" s="52"/>
      <c r="G20" s="1"/>
    </row>
    <row r="21" spans="1:7" x14ac:dyDescent="0.25">
      <c r="A21" s="1"/>
      <c r="B21" s="152"/>
      <c r="C21" s="152"/>
      <c r="D21" s="152"/>
      <c r="E21" s="152"/>
      <c r="F21" s="152"/>
      <c r="G21" s="1"/>
    </row>
    <row r="22" spans="1:7" x14ac:dyDescent="0.25">
      <c r="A22" s="1"/>
      <c r="B22" s="54"/>
      <c r="C22" s="54"/>
      <c r="D22" s="54"/>
      <c r="E22" s="54"/>
      <c r="F22" s="54"/>
      <c r="G22" s="1"/>
    </row>
    <row r="23" spans="1:7" x14ac:dyDescent="0.25">
      <c r="A23" s="1"/>
      <c r="B23" s="55"/>
      <c r="C23" s="58"/>
      <c r="D23" s="57"/>
      <c r="E23" s="58"/>
      <c r="F23" s="57"/>
      <c r="G23" s="1"/>
    </row>
    <row r="24" spans="1:7" x14ac:dyDescent="0.25">
      <c r="A24" s="1"/>
      <c r="B24" s="59"/>
      <c r="C24" s="60"/>
      <c r="D24" s="61"/>
      <c r="E24" s="60"/>
      <c r="F24" s="61"/>
      <c r="G24" s="1"/>
    </row>
    <row r="25" spans="1:7" x14ac:dyDescent="0.25">
      <c r="A25" s="1"/>
      <c r="B25" s="59"/>
      <c r="C25" s="60"/>
      <c r="D25" s="61"/>
      <c r="E25" s="60"/>
      <c r="F25" s="61"/>
      <c r="G25" s="1"/>
    </row>
    <row r="26" spans="1:7" x14ac:dyDescent="0.25">
      <c r="A26" s="1"/>
      <c r="B26" s="52"/>
      <c r="C26" s="52"/>
      <c r="D26" s="52"/>
      <c r="E26" s="52"/>
      <c r="F26" s="52"/>
      <c r="G26" s="1"/>
    </row>
    <row r="27" spans="1:7" x14ac:dyDescent="0.25">
      <c r="A27" s="1"/>
      <c r="B27" s="152"/>
      <c r="C27" s="152"/>
      <c r="D27" s="152"/>
      <c r="E27" s="152"/>
      <c r="F27" s="152"/>
      <c r="G27" s="1"/>
    </row>
    <row r="28" spans="1:7" x14ac:dyDescent="0.25">
      <c r="A28" s="1"/>
      <c r="B28" s="54"/>
      <c r="C28" s="54"/>
      <c r="D28" s="54"/>
      <c r="E28" s="54"/>
      <c r="F28" s="54"/>
      <c r="G28" s="1"/>
    </row>
    <row r="29" spans="1:7" x14ac:dyDescent="0.25">
      <c r="A29" s="1"/>
      <c r="B29" s="55"/>
      <c r="C29" s="58"/>
      <c r="D29" s="57"/>
      <c r="E29" s="58"/>
      <c r="F29" s="57"/>
      <c r="G29" s="1"/>
    </row>
    <row r="30" spans="1:7" x14ac:dyDescent="0.25">
      <c r="A30" s="1"/>
      <c r="B30" s="59"/>
      <c r="C30" s="60"/>
      <c r="D30" s="61"/>
      <c r="E30" s="60"/>
      <c r="F30" s="61"/>
      <c r="G30" s="1"/>
    </row>
    <row r="31" spans="1:7" x14ac:dyDescent="0.25">
      <c r="A31" s="1"/>
      <c r="B31" s="59"/>
      <c r="C31" s="60"/>
      <c r="D31" s="61"/>
      <c r="E31" s="60"/>
      <c r="F31" s="6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ogveHcDILBimjm7hcQy+PTlvS0aNDaBTQak8N100tCy0b3t0J4kvvCVy1J3jxd7ltWJcW94/gCm0q9jE5zpKg==" saltValue="AplGNaZsDqOxiRlF3mXFC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3" t="s">
        <v>201</v>
      </c>
      <c r="C3" s="113"/>
      <c r="D3" s="113"/>
      <c r="E3" s="1"/>
    </row>
    <row r="4" spans="1:5" ht="15" customHeight="1"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21761594.942019392</v>
      </c>
      <c r="D9" s="8" t="s">
        <v>3</v>
      </c>
      <c r="E9" s="1"/>
    </row>
    <row r="10" spans="1:5" ht="17.25" customHeight="1" x14ac:dyDescent="0.25">
      <c r="A10" s="1"/>
      <c r="B10" s="91" t="s">
        <v>36</v>
      </c>
      <c r="C10" s="7">
        <f>'Fane 11.1. Varige tillæg'!C20</f>
        <v>0</v>
      </c>
      <c r="D10" s="8" t="s">
        <v>3</v>
      </c>
      <c r="E10" s="1"/>
    </row>
    <row r="11" spans="1:5" ht="17.25" customHeight="1" x14ac:dyDescent="0.25">
      <c r="A11" s="1"/>
      <c r="B11" s="91" t="s">
        <v>37</v>
      </c>
      <c r="C11" s="9">
        <f>'Fane 11.1. Varige tillæg'!E20</f>
        <v>16720073.356104244</v>
      </c>
      <c r="D11" s="8" t="s">
        <v>3</v>
      </c>
      <c r="E11" s="1"/>
    </row>
    <row r="12" spans="1:5" ht="17.25" customHeight="1" x14ac:dyDescent="0.25">
      <c r="A12" s="1"/>
      <c r="B12" s="91" t="s">
        <v>26</v>
      </c>
      <c r="C12" s="9">
        <f>-'Fane 14. Bortfald'!C13</f>
        <v>0</v>
      </c>
      <c r="D12" s="8" t="s">
        <v>3</v>
      </c>
      <c r="E12" s="1"/>
    </row>
    <row r="13" spans="1:5" ht="17.25" customHeight="1" x14ac:dyDescent="0.25">
      <c r="A13" s="1"/>
      <c r="B13" s="91" t="s">
        <v>25</v>
      </c>
      <c r="C13" s="9">
        <f>-'Fane 14. Bortfald'!E13</f>
        <v>0</v>
      </c>
      <c r="D13" s="8" t="s">
        <v>3</v>
      </c>
      <c r="E13" s="1"/>
    </row>
    <row r="14" spans="1:5" ht="17.25" customHeight="1" x14ac:dyDescent="0.25">
      <c r="A14" s="1"/>
      <c r="B14" s="91" t="s">
        <v>105</v>
      </c>
      <c r="C14" s="9">
        <f>'Fane 13. Tilknyttet virksomhed'!C14</f>
        <v>0</v>
      </c>
      <c r="D14" s="8" t="s">
        <v>3</v>
      </c>
      <c r="E14" s="1"/>
    </row>
    <row r="15" spans="1:5" ht="17.25" customHeight="1" x14ac:dyDescent="0.25">
      <c r="A15" s="1"/>
      <c r="B15" s="91" t="s">
        <v>106</v>
      </c>
      <c r="C15" s="9">
        <f>'Fane 13. Tilknyttet virksomhed'!E14</f>
        <v>0</v>
      </c>
      <c r="D15" s="8" t="s">
        <v>3</v>
      </c>
      <c r="E15" s="1"/>
    </row>
    <row r="16" spans="1:5" ht="17.25" customHeight="1" x14ac:dyDescent="0.25">
      <c r="A16" s="1"/>
      <c r="B16" s="91" t="s">
        <v>19</v>
      </c>
      <c r="C16" s="42">
        <f>SUM(C9)*'Fane 15. Nøgletal'!C16+SUM(C10:C15)*'Fane 15. Nøgletal'!C16</f>
        <v>3109318.7984883897</v>
      </c>
      <c r="D16" s="8" t="s">
        <v>3</v>
      </c>
      <c r="E16" s="1"/>
    </row>
    <row r="17" spans="1:5" ht="17.25" customHeight="1" x14ac:dyDescent="0.25">
      <c r="A17" s="1"/>
      <c r="B17" s="91" t="s">
        <v>10</v>
      </c>
      <c r="C17" s="42">
        <f>-SUM(C9,C10:C16)*'Fane 5. Individuelt eff. krav'!G9</f>
        <v>-503769.88523947407</v>
      </c>
      <c r="D17" s="8" t="s">
        <v>3</v>
      </c>
      <c r="E17" s="1"/>
    </row>
    <row r="18" spans="1:5" ht="17.25" customHeight="1" x14ac:dyDescent="0.25">
      <c r="A18" s="1"/>
      <c r="B18" s="91" t="s">
        <v>23</v>
      </c>
      <c r="C18" s="42">
        <f>-'Fane 4.1. Gen. krav - drift'!G54</f>
        <v>-274321.29684598208</v>
      </c>
      <c r="D18" s="8" t="s">
        <v>3</v>
      </c>
      <c r="E18" s="1"/>
    </row>
    <row r="19" spans="1:5" ht="17.25" customHeight="1" x14ac:dyDescent="0.25">
      <c r="A19" s="1"/>
      <c r="B19" s="91" t="s">
        <v>24</v>
      </c>
      <c r="C19" s="42">
        <f>-'Fane 4.2. Gen. krav - anlæg'!G55</f>
        <v>0</v>
      </c>
      <c r="D19" s="8" t="s">
        <v>3</v>
      </c>
      <c r="E19" s="48"/>
    </row>
    <row r="20" spans="1:5" ht="17.25" customHeight="1" x14ac:dyDescent="0.25">
      <c r="A20" s="1"/>
      <c r="B20" s="85" t="s">
        <v>21</v>
      </c>
      <c r="C20" s="10">
        <f>SUM(C9:C19)</f>
        <v>40812895.914526567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1395110.0522956799</v>
      </c>
      <c r="D22" s="11" t="s">
        <v>3</v>
      </c>
      <c r="E22" s="1"/>
    </row>
    <row r="23" spans="1:5" ht="15" customHeight="1" x14ac:dyDescent="0.25">
      <c r="A23" s="1"/>
      <c r="B23" s="33" t="s">
        <v>74</v>
      </c>
      <c r="C23" s="28"/>
      <c r="D23" s="19"/>
      <c r="E23" s="1"/>
    </row>
    <row r="24" spans="1:5" ht="15" customHeight="1" x14ac:dyDescent="0.25">
      <c r="A24" s="1"/>
      <c r="B24" s="85" t="s">
        <v>74</v>
      </c>
      <c r="C24" s="10">
        <f>'Fane 12. Periodevise driftsomk.'!E13</f>
        <v>0</v>
      </c>
      <c r="D24" s="11" t="s">
        <v>3</v>
      </c>
      <c r="E24" s="1"/>
    </row>
    <row r="25" spans="1:5" ht="15" customHeight="1" x14ac:dyDescent="0.25">
      <c r="A25" s="1"/>
      <c r="B25" s="45" t="s">
        <v>73</v>
      </c>
      <c r="C25" s="43"/>
      <c r="D25" s="44"/>
      <c r="E25" s="1"/>
    </row>
    <row r="26" spans="1:5" ht="15" customHeight="1" x14ac:dyDescent="0.25">
      <c r="A26" s="1"/>
      <c r="B26" s="91" t="s">
        <v>158</v>
      </c>
      <c r="C26" s="74">
        <f>'Fane 11.2. Engangstillæg'!C14</f>
        <v>0</v>
      </c>
      <c r="D26" s="8" t="s">
        <v>3</v>
      </c>
      <c r="E26" s="1"/>
    </row>
    <row r="27" spans="1:5" ht="15" customHeight="1" x14ac:dyDescent="0.25">
      <c r="A27" s="1"/>
      <c r="B27" s="91" t="s">
        <v>70</v>
      </c>
      <c r="C27" s="74">
        <f>'Fane 11.2. Engangstillæg'!E14</f>
        <v>0</v>
      </c>
      <c r="D27" s="8" t="s">
        <v>3</v>
      </c>
      <c r="E27" s="1"/>
    </row>
    <row r="28" spans="1:5" ht="15" customHeight="1" x14ac:dyDescent="0.25">
      <c r="A28" s="1"/>
      <c r="B28" s="91" t="s">
        <v>161</v>
      </c>
      <c r="C28" s="74">
        <f>-C26*('Fane 15. Nøgletal'!C33+'Fane 5. Individuelt eff. krav'!G9)</f>
        <v>0</v>
      </c>
      <c r="D28" s="8" t="s">
        <v>3</v>
      </c>
      <c r="E28" s="1"/>
    </row>
    <row r="29" spans="1:5" ht="15" customHeight="1" x14ac:dyDescent="0.25">
      <c r="A29" s="1"/>
      <c r="B29" s="91" t="s">
        <v>162</v>
      </c>
      <c r="C29" s="74">
        <f>-C27*('Fane 15. Nøgletal'!C28+'Fane 5. Individuelt eff. krav'!G9)</f>
        <v>0</v>
      </c>
      <c r="D29" s="8" t="s">
        <v>3</v>
      </c>
      <c r="E29" s="1"/>
    </row>
    <row r="30" spans="1:5" ht="15" customHeight="1" x14ac:dyDescent="0.25">
      <c r="A30" s="1"/>
      <c r="B30" s="71"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1" t="s">
        <v>136</v>
      </c>
      <c r="C36" s="10">
        <f>'Fane 8. Skattesagen'!G13</f>
        <v>0</v>
      </c>
      <c r="D36" s="11" t="s">
        <v>3</v>
      </c>
      <c r="E36" s="1"/>
    </row>
    <row r="37" spans="1:5" x14ac:dyDescent="0.25">
      <c r="A37" s="1"/>
      <c r="B37" s="30" t="s">
        <v>344</v>
      </c>
      <c r="C37" s="28"/>
      <c r="D37" s="19"/>
      <c r="E37" s="1"/>
    </row>
    <row r="38" spans="1:5" x14ac:dyDescent="0.25">
      <c r="A38" s="1"/>
      <c r="B38" s="71" t="s">
        <v>345</v>
      </c>
      <c r="C38" s="10">
        <v>284220.94885702652</v>
      </c>
      <c r="D38" s="11" t="s">
        <v>3</v>
      </c>
      <c r="E38" s="1"/>
    </row>
    <row r="39" spans="1:5" x14ac:dyDescent="0.25">
      <c r="A39" s="1"/>
      <c r="B39" s="33" t="s">
        <v>108</v>
      </c>
      <c r="C39" s="50">
        <f>SUM(C34,C32,C24,C30,C22,C20,C36,C38)</f>
        <v>42492226.915679269</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rgN3ZzzggcAjSxKxRJDVG8XHUwPabTRoViVelUNNzzcSL266rvEqqmzXPnVh29jzKe5C2WunpLH+WGqSKx9HQ==" saltValue="jnz4A02WP26RFX5ouqmLs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6" t="s">
        <v>188</v>
      </c>
      <c r="C3" s="116"/>
      <c r="D3" s="1"/>
    </row>
    <row r="4" spans="1:4" ht="25.5" customHeight="1" x14ac:dyDescent="0.25">
      <c r="A4" s="1"/>
      <c r="B4" s="116"/>
      <c r="C4" s="11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4" t="s">
        <v>94</v>
      </c>
      <c r="C9" s="25">
        <v>1.2699999999999999E-2</v>
      </c>
      <c r="D9" s="1"/>
    </row>
    <row r="10" spans="1:4" x14ac:dyDescent="0.25">
      <c r="A10" s="1"/>
      <c r="B10" s="84" t="s">
        <v>95</v>
      </c>
      <c r="C10" s="25">
        <v>1.7500000000000002E-2</v>
      </c>
      <c r="D10" s="1"/>
    </row>
    <row r="11" spans="1:4" x14ac:dyDescent="0.25">
      <c r="A11" s="1"/>
      <c r="B11" s="84"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4" t="s">
        <v>133</v>
      </c>
      <c r="C14" s="40">
        <v>3.3E-3</v>
      </c>
      <c r="D14" s="1"/>
    </row>
    <row r="15" spans="1:4" x14ac:dyDescent="0.25">
      <c r="A15" s="1"/>
      <c r="B15" s="34" t="s">
        <v>152</v>
      </c>
      <c r="C15" s="35">
        <v>3.56E-2</v>
      </c>
      <c r="D15" s="1"/>
    </row>
    <row r="16" spans="1:4" x14ac:dyDescent="0.25">
      <c r="A16" s="1"/>
      <c r="B16" s="66" t="s">
        <v>190</v>
      </c>
      <c r="C16" s="69">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4" t="s">
        <v>96</v>
      </c>
      <c r="C21" s="22">
        <v>9.1000000000000004E-3</v>
      </c>
      <c r="D21" s="1"/>
    </row>
    <row r="22" spans="1:4" x14ac:dyDescent="0.25">
      <c r="A22" s="1"/>
      <c r="B22" s="84" t="s">
        <v>118</v>
      </c>
      <c r="C22" s="22">
        <v>1.77E-2</v>
      </c>
      <c r="D22" s="1"/>
    </row>
    <row r="23" spans="1:4" x14ac:dyDescent="0.25">
      <c r="A23" s="1"/>
      <c r="B23" s="84" t="s">
        <v>119</v>
      </c>
      <c r="C23" s="22">
        <v>8.6999999999999994E-3</v>
      </c>
      <c r="D23" s="1"/>
    </row>
    <row r="24" spans="1:4" x14ac:dyDescent="0.25">
      <c r="A24" s="1"/>
      <c r="B24" s="84" t="s">
        <v>97</v>
      </c>
      <c r="C24" s="36">
        <v>2.8400000000000002E-2</v>
      </c>
      <c r="D24" s="1"/>
    </row>
    <row r="25" spans="1:4" x14ac:dyDescent="0.25">
      <c r="A25" s="1"/>
      <c r="B25" s="84" t="s">
        <v>120</v>
      </c>
      <c r="C25" s="36">
        <v>2.75E-2</v>
      </c>
      <c r="D25" s="1"/>
    </row>
    <row r="26" spans="1:4" x14ac:dyDescent="0.25">
      <c r="A26" s="1"/>
      <c r="B26" s="84" t="s">
        <v>121</v>
      </c>
      <c r="C26" s="36">
        <v>1.4800000000000001E-2</v>
      </c>
      <c r="D26" s="1"/>
    </row>
    <row r="27" spans="1:4" x14ac:dyDescent="0.25">
      <c r="A27" s="1"/>
      <c r="B27" s="34" t="s">
        <v>147</v>
      </c>
      <c r="C27" s="65">
        <v>0</v>
      </c>
      <c r="D27" s="1"/>
    </row>
    <row r="28" spans="1:4" x14ac:dyDescent="0.25">
      <c r="A28" s="1"/>
      <c r="B28" s="66" t="s">
        <v>191</v>
      </c>
      <c r="C28" s="68">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4"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xZg8tMbvyMvwVzqWJOouWJ4gpqPmJIWaSUgGIpiTydvPxJKuWD1EIBO8vSxGJdNMl7BUSUSaeymV4oVFkAXbLw==" saltValue="aDxIlm8uFUqEX0G3JjCCY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3" t="s">
        <v>202</v>
      </c>
      <c r="C3" s="113"/>
      <c r="D3" s="113"/>
      <c r="E3" s="1"/>
    </row>
    <row r="4" spans="1:5" ht="15" customHeight="1" x14ac:dyDescent="0.25">
      <c r="A4" s="1"/>
      <c r="B4" s="113"/>
      <c r="C4" s="113"/>
      <c r="D4" s="113"/>
      <c r="E4" s="1"/>
    </row>
    <row r="5" spans="1:5" x14ac:dyDescent="0.25">
      <c r="A5" s="1"/>
      <c r="B5" s="114"/>
      <c r="C5" s="114"/>
      <c r="D5" s="114"/>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40812895.914526567</v>
      </c>
      <c r="D9" s="8" t="s">
        <v>3</v>
      </c>
      <c r="E9" s="1"/>
    </row>
    <row r="10" spans="1:5" ht="15" customHeight="1" x14ac:dyDescent="0.25">
      <c r="A10" s="1"/>
      <c r="B10" s="26" t="s">
        <v>19</v>
      </c>
      <c r="C10" s="7">
        <f>SUM(C9:C9)*'Fane 15. Nøgletal'!C16</f>
        <v>3297681.9898937466</v>
      </c>
      <c r="D10" s="8" t="s">
        <v>3</v>
      </c>
      <c r="E10" s="1"/>
    </row>
    <row r="11" spans="1:5" ht="15" customHeight="1" x14ac:dyDescent="0.25">
      <c r="A11" s="1"/>
      <c r="B11" s="26" t="s">
        <v>10</v>
      </c>
      <c r="C11" s="9">
        <f>-SUM(C9:C10)*'Fane 5. Individuelt eff. krav'!G9</f>
        <v>-534288.3715920957</v>
      </c>
      <c r="D11" s="8" t="s">
        <v>3</v>
      </c>
      <c r="E11" s="1"/>
    </row>
    <row r="12" spans="1:5" ht="15" customHeight="1" x14ac:dyDescent="0.25">
      <c r="A12" s="1"/>
      <c r="B12" s="26" t="s">
        <v>23</v>
      </c>
      <c r="C12" s="9">
        <f>-'Fane 4.1. Gen. krav - drift'!G59</f>
        <v>-290556.72847851465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43285732.804349706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1507834.9445211708</v>
      </c>
      <c r="D16" s="11" t="s">
        <v>3</v>
      </c>
      <c r="E16" s="1"/>
    </row>
    <row r="17" spans="1:5" ht="15" customHeight="1" x14ac:dyDescent="0.25">
      <c r="A17" s="1"/>
      <c r="B17" s="33" t="s">
        <v>74</v>
      </c>
      <c r="C17" s="28"/>
      <c r="D17" s="19"/>
      <c r="E17" s="1"/>
    </row>
    <row r="18" spans="1:5" ht="15" customHeight="1" x14ac:dyDescent="0.25">
      <c r="A18" s="1"/>
      <c r="B18" s="85"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1" t="s">
        <v>136</v>
      </c>
      <c r="C22" s="10">
        <f>'Fane 8. Skattesagen'!G14</f>
        <v>0</v>
      </c>
      <c r="D22" s="11" t="s">
        <v>3</v>
      </c>
      <c r="E22" s="1"/>
    </row>
    <row r="23" spans="1:5" x14ac:dyDescent="0.25">
      <c r="A23" s="1"/>
      <c r="B23" s="33" t="s">
        <v>122</v>
      </c>
      <c r="C23" s="12">
        <f>SUM(C14,C16,C18,C20,C22)</f>
        <v>44793567.748870879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sLdJ6qRoRdnHyTXSUU4N2nqEw//YiOL1ZhcSjXvCdofvK+HxEd9Wp6BMuDUtAix1nJxt6/AhpQuCQ3cDZjK7g==" saltValue="QJPJ0fLlWUul4irqTJQgx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3" t="s">
        <v>203</v>
      </c>
      <c r="C3" s="113"/>
      <c r="D3" s="113"/>
      <c r="E3" s="1"/>
    </row>
    <row r="4" spans="1:5" ht="15" customHeight="1" x14ac:dyDescent="0.25">
      <c r="A4" s="1"/>
      <c r="B4" s="113"/>
      <c r="C4" s="113"/>
      <c r="D4" s="113"/>
      <c r="E4" s="1"/>
    </row>
    <row r="5" spans="1:5" x14ac:dyDescent="0.25">
      <c r="A5" s="1"/>
      <c r="B5" s="114" t="s">
        <v>253</v>
      </c>
      <c r="C5" s="114"/>
      <c r="D5" s="114"/>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43285732.804349706</v>
      </c>
      <c r="D9" s="8" t="s">
        <v>3</v>
      </c>
      <c r="E9" s="1"/>
    </row>
    <row r="10" spans="1:5" ht="15" customHeight="1" x14ac:dyDescent="0.25">
      <c r="A10" s="1"/>
      <c r="B10" s="26" t="s">
        <v>19</v>
      </c>
      <c r="C10" s="7">
        <f>SUM(C9:C9)*'Fane 15. Nøgletal'!C16</f>
        <v>3497487.2105914559</v>
      </c>
      <c r="D10" s="8" t="s">
        <v>3</v>
      </c>
      <c r="E10" s="1"/>
    </row>
    <row r="11" spans="1:5" ht="15" customHeight="1" x14ac:dyDescent="0.25">
      <c r="A11" s="1"/>
      <c r="B11" s="26" t="s">
        <v>10</v>
      </c>
      <c r="C11" s="9">
        <f>-SUM(C9:C10)*'Fane 5. Individuelt eff. krav'!G9</f>
        <v>-566660.68836774037</v>
      </c>
      <c r="D11" s="8" t="s">
        <v>3</v>
      </c>
      <c r="E11" s="1"/>
    </row>
    <row r="12" spans="1:5" ht="15" customHeight="1" x14ac:dyDescent="0.25">
      <c r="A12" s="1"/>
      <c r="B12" s="26" t="s">
        <v>23</v>
      </c>
      <c r="C12" s="9">
        <f>-'Fane 4.1. Gen. krav - drift'!G64</f>
        <v>-307753.03789678705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45908806.288676634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1629668.0080384815</v>
      </c>
      <c r="D16" s="11" t="s">
        <v>3</v>
      </c>
      <c r="E16" s="1"/>
    </row>
    <row r="17" spans="1:5" ht="15" customHeight="1" x14ac:dyDescent="0.25">
      <c r="A17" s="1"/>
      <c r="B17" s="33" t="s">
        <v>74</v>
      </c>
      <c r="C17" s="28"/>
      <c r="D17" s="19"/>
      <c r="E17" s="1"/>
    </row>
    <row r="18" spans="1:5" ht="15" customHeight="1" x14ac:dyDescent="0.25">
      <c r="A18" s="1"/>
      <c r="B18" s="85"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1" t="s">
        <v>136</v>
      </c>
      <c r="C22" s="10">
        <f>'Fane 8. Skattesagen'!G15</f>
        <v>0</v>
      </c>
      <c r="D22" s="11" t="s">
        <v>3</v>
      </c>
      <c r="E22" s="1"/>
    </row>
    <row r="23" spans="1:5" x14ac:dyDescent="0.25">
      <c r="A23" s="1"/>
      <c r="B23" s="33" t="s">
        <v>140</v>
      </c>
      <c r="C23" s="12">
        <f>SUM(C14,C16,C18,C20,C22)</f>
        <v>47538474.296715118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MRSxHf6sam+6+/0L8uqEYYgBPggAyx5y/ZTUUmsf/ucia0w/yZcLKjBE2rrLn6qfPT/266RoYIDFx1Y36cugg==" saltValue="++/fPvIxZvvWtp7pKPUXd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3" t="s">
        <v>204</v>
      </c>
      <c r="C3" s="113"/>
      <c r="D3" s="113"/>
      <c r="E3" s="1"/>
      <c r="F3" s="1"/>
    </row>
    <row r="4" spans="1:6" ht="15" customHeight="1" x14ac:dyDescent="0.25">
      <c r="A4" s="1"/>
      <c r="B4" s="113"/>
      <c r="C4" s="113"/>
      <c r="D4" s="113"/>
      <c r="E4" s="1"/>
      <c r="F4" s="1"/>
    </row>
    <row r="5" spans="1:6" x14ac:dyDescent="0.25">
      <c r="A5" s="1"/>
      <c r="B5" s="114" t="s">
        <v>253</v>
      </c>
      <c r="C5" s="114"/>
      <c r="D5" s="114"/>
      <c r="E5" s="1"/>
      <c r="F5" s="1"/>
    </row>
    <row r="6" spans="1:6" x14ac:dyDescent="0.25">
      <c r="A6" s="1"/>
      <c r="B6" s="76"/>
      <c r="C6" s="76"/>
      <c r="D6" s="76"/>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45908806.288676634</v>
      </c>
      <c r="D9" s="8" t="s">
        <v>3</v>
      </c>
      <c r="E9" s="1"/>
      <c r="F9" s="1"/>
    </row>
    <row r="10" spans="1:6" ht="15" customHeight="1" x14ac:dyDescent="0.25">
      <c r="A10" s="1"/>
      <c r="B10" s="26" t="s">
        <v>19</v>
      </c>
      <c r="C10" s="7">
        <f>SUM(C9:C9)*'Fane 15. Nøgletal'!C16</f>
        <v>3709431.5481250719</v>
      </c>
      <c r="D10" s="8" t="s">
        <v>3</v>
      </c>
      <c r="E10" s="1"/>
      <c r="F10" s="1"/>
    </row>
    <row r="11" spans="1:6" ht="15" customHeight="1" x14ac:dyDescent="0.25">
      <c r="A11" s="1"/>
      <c r="B11" s="26" t="s">
        <v>10</v>
      </c>
      <c r="C11" s="9">
        <f>-SUM(C9:C10)*'Fane 5. Individuelt eff. krav'!G9</f>
        <v>-600999.77725382475</v>
      </c>
      <c r="D11" s="8" t="s">
        <v>3</v>
      </c>
      <c r="E11" s="1"/>
      <c r="F11" s="1"/>
    </row>
    <row r="12" spans="1:6" ht="15" customHeight="1" x14ac:dyDescent="0.25">
      <c r="A12" s="1"/>
      <c r="B12" s="26" t="s">
        <v>23</v>
      </c>
      <c r="C12" s="9">
        <f>-'Fane 4.1. Gen. krav - drift'!G69</f>
        <v>-325967.09369167045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48691270.965856217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1761345.1830879906</v>
      </c>
      <c r="D16" s="11" t="s">
        <v>3</v>
      </c>
      <c r="E16" s="1"/>
      <c r="F16" s="1"/>
    </row>
    <row r="17" spans="1:6" ht="15" customHeight="1" x14ac:dyDescent="0.25">
      <c r="A17" s="1"/>
      <c r="B17" s="33" t="s">
        <v>74</v>
      </c>
      <c r="C17" s="28"/>
      <c r="D17" s="19"/>
      <c r="E17" s="1"/>
      <c r="F17" s="1"/>
    </row>
    <row r="18" spans="1:6" ht="15" customHeight="1" x14ac:dyDescent="0.25">
      <c r="A18" s="1"/>
      <c r="B18" s="85"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1" t="s">
        <v>136</v>
      </c>
      <c r="C22" s="10">
        <f>'Fane 8. Skattesagen'!G16</f>
        <v>0</v>
      </c>
      <c r="D22" s="11" t="s">
        <v>3</v>
      </c>
      <c r="E22" s="1"/>
      <c r="F22" s="1"/>
    </row>
    <row r="23" spans="1:6" x14ac:dyDescent="0.25">
      <c r="A23" s="1"/>
      <c r="B23" s="33" t="s">
        <v>209</v>
      </c>
      <c r="C23" s="12">
        <f>SUM(C14,C16,C18,C20,C22)</f>
        <v>50452616.148944207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9XbRmYkeB6cb63LNotVqfg7RHrIJcIy599QcUtO7HoFd0Q/f6Q3bAuOK35FS3mfiLkdlEEz8Lj7eHYekJkp59A==" saltValue="NHLEVt4pb3DuUrZlggYHM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6"/>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6" t="s">
        <v>205</v>
      </c>
      <c r="C3" s="116"/>
      <c r="D3" s="116"/>
      <c r="E3" s="1"/>
    </row>
    <row r="4" spans="1:5"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22148430.825595733</v>
      </c>
      <c r="D9" s="8" t="s">
        <v>3</v>
      </c>
      <c r="E9" s="1"/>
    </row>
    <row r="10" spans="1:5" x14ac:dyDescent="0.25">
      <c r="A10" s="1"/>
      <c r="B10" s="91" t="s">
        <v>36</v>
      </c>
      <c r="C10" s="7">
        <v>0</v>
      </c>
      <c r="D10" s="8" t="s">
        <v>3</v>
      </c>
      <c r="E10" s="1"/>
    </row>
    <row r="11" spans="1:5" x14ac:dyDescent="0.25">
      <c r="A11" s="1"/>
      <c r="B11" s="91" t="s">
        <v>37</v>
      </c>
      <c r="C11" s="9">
        <v>0</v>
      </c>
      <c r="D11" s="8" t="s">
        <v>3</v>
      </c>
      <c r="E11" s="1"/>
    </row>
    <row r="12" spans="1:5" x14ac:dyDescent="0.25">
      <c r="A12" s="1"/>
      <c r="B12" s="91" t="s">
        <v>26</v>
      </c>
      <c r="C12" s="9">
        <v>0</v>
      </c>
      <c r="D12" s="8" t="s">
        <v>3</v>
      </c>
      <c r="E12" s="1"/>
    </row>
    <row r="13" spans="1:5" x14ac:dyDescent="0.25">
      <c r="A13" s="1"/>
      <c r="B13" s="91" t="s">
        <v>25</v>
      </c>
      <c r="C13" s="9">
        <v>0</v>
      </c>
      <c r="D13" s="8" t="s">
        <v>3</v>
      </c>
      <c r="E13" s="1"/>
    </row>
    <row r="14" spans="1:5" x14ac:dyDescent="0.25">
      <c r="A14" s="1"/>
      <c r="B14" s="91" t="s">
        <v>105</v>
      </c>
      <c r="C14" s="9">
        <v>0</v>
      </c>
      <c r="D14" s="8" t="s">
        <v>3</v>
      </c>
      <c r="E14" s="1"/>
    </row>
    <row r="15" spans="1:5" x14ac:dyDescent="0.25">
      <c r="A15" s="1"/>
      <c r="B15" s="91" t="s">
        <v>106</v>
      </c>
      <c r="C15" s="9">
        <v>0</v>
      </c>
      <c r="D15" s="8" t="s">
        <v>3</v>
      </c>
      <c r="E15" s="1"/>
    </row>
    <row r="16" spans="1:5" x14ac:dyDescent="0.25">
      <c r="A16" s="1"/>
      <c r="B16" s="91" t="s">
        <v>19</v>
      </c>
      <c r="C16" s="42">
        <v>73089.821724465917</v>
      </c>
      <c r="D16" s="8" t="s">
        <v>3</v>
      </c>
      <c r="E16" s="1"/>
    </row>
    <row r="17" spans="1:5" x14ac:dyDescent="0.25">
      <c r="A17" s="1"/>
      <c r="B17" s="91" t="s">
        <v>10</v>
      </c>
      <c r="C17" s="42">
        <v>-59359.679994597456</v>
      </c>
      <c r="D17" s="8" t="s">
        <v>3</v>
      </c>
      <c r="E17" s="1"/>
    </row>
    <row r="18" spans="1:5" x14ac:dyDescent="0.25">
      <c r="A18" s="1"/>
      <c r="B18" s="91" t="s">
        <v>23</v>
      </c>
      <c r="C18" s="42">
        <v>-258993.05205326181</v>
      </c>
      <c r="D18" s="8" t="s">
        <v>3</v>
      </c>
      <c r="E18" s="1"/>
    </row>
    <row r="19" spans="1:5" x14ac:dyDescent="0.25">
      <c r="A19" s="1"/>
      <c r="B19" s="91" t="s">
        <v>24</v>
      </c>
      <c r="C19" s="42">
        <v>-141572.97325294971</v>
      </c>
      <c r="D19" s="8" t="s">
        <v>3</v>
      </c>
      <c r="E19" s="48"/>
    </row>
    <row r="20" spans="1:5" x14ac:dyDescent="0.25">
      <c r="A20" s="1"/>
      <c r="B20" s="85" t="s">
        <v>21</v>
      </c>
      <c r="C20" s="10">
        <v>21761594.942019392</v>
      </c>
      <c r="D20" s="11" t="s">
        <v>3</v>
      </c>
      <c r="E20" s="1"/>
    </row>
    <row r="21" spans="1:5" x14ac:dyDescent="0.25">
      <c r="A21" s="1"/>
      <c r="B21" s="33" t="s">
        <v>12</v>
      </c>
      <c r="C21" s="28"/>
      <c r="D21" s="19"/>
      <c r="E21" s="1"/>
    </row>
    <row r="22" spans="1:5" x14ac:dyDescent="0.25">
      <c r="A22" s="1"/>
      <c r="B22" s="31" t="s">
        <v>12</v>
      </c>
      <c r="C22" s="10">
        <v>1307058.8703264</v>
      </c>
      <c r="D22" s="11" t="s">
        <v>3</v>
      </c>
      <c r="E22" s="1"/>
    </row>
    <row r="23" spans="1:5" x14ac:dyDescent="0.25">
      <c r="A23" s="1"/>
      <c r="B23" s="33" t="s">
        <v>74</v>
      </c>
      <c r="C23" s="28"/>
      <c r="D23" s="19"/>
      <c r="E23" s="1"/>
    </row>
    <row r="24" spans="1:5" x14ac:dyDescent="0.25">
      <c r="A24" s="1"/>
      <c r="B24" s="85" t="s">
        <v>74</v>
      </c>
      <c r="C24" s="10">
        <v>0</v>
      </c>
      <c r="D24" s="11" t="s">
        <v>3</v>
      </c>
      <c r="E24" s="1"/>
    </row>
    <row r="25" spans="1:5" x14ac:dyDescent="0.25">
      <c r="A25" s="1"/>
      <c r="B25" s="45" t="s">
        <v>73</v>
      </c>
      <c r="C25" s="43"/>
      <c r="D25" s="44"/>
      <c r="E25" s="1"/>
    </row>
    <row r="26" spans="1:5" x14ac:dyDescent="0.25">
      <c r="A26" s="1"/>
      <c r="B26" s="91" t="s">
        <v>158</v>
      </c>
      <c r="C26" s="70">
        <v>0</v>
      </c>
      <c r="D26" s="8" t="s">
        <v>3</v>
      </c>
      <c r="E26" s="1"/>
    </row>
    <row r="27" spans="1:5" x14ac:dyDescent="0.25">
      <c r="A27" s="1"/>
      <c r="B27" s="91" t="s">
        <v>70</v>
      </c>
      <c r="C27" s="70">
        <v>0</v>
      </c>
      <c r="D27" s="8" t="s">
        <v>3</v>
      </c>
      <c r="E27" s="1"/>
    </row>
    <row r="28" spans="1:5" x14ac:dyDescent="0.25">
      <c r="A28" s="1"/>
      <c r="B28" s="91" t="s">
        <v>161</v>
      </c>
      <c r="C28" s="70">
        <v>0</v>
      </c>
      <c r="D28" s="8" t="s">
        <v>3</v>
      </c>
      <c r="E28" s="1"/>
    </row>
    <row r="29" spans="1:5" x14ac:dyDescent="0.25">
      <c r="A29" s="1"/>
      <c r="B29" s="91" t="s">
        <v>162</v>
      </c>
      <c r="C29" s="70">
        <v>0</v>
      </c>
      <c r="D29" s="8" t="s">
        <v>3</v>
      </c>
      <c r="E29" s="1"/>
    </row>
    <row r="30" spans="1:5" x14ac:dyDescent="0.25">
      <c r="A30" s="1"/>
      <c r="B30" s="71" t="s">
        <v>75</v>
      </c>
      <c r="C30" s="10">
        <v>0</v>
      </c>
      <c r="D30" s="11" t="s">
        <v>3</v>
      </c>
      <c r="E30" s="1"/>
    </row>
    <row r="31" spans="1:5" x14ac:dyDescent="0.25">
      <c r="A31" s="1"/>
      <c r="B31" s="33" t="s">
        <v>116</v>
      </c>
      <c r="C31" s="28"/>
      <c r="D31" s="19"/>
      <c r="E31" s="1"/>
    </row>
    <row r="32" spans="1:5" x14ac:dyDescent="0.25">
      <c r="A32" s="1"/>
      <c r="B32" s="31" t="s">
        <v>138</v>
      </c>
      <c r="C32" s="10">
        <v>-603133.67691948637</v>
      </c>
      <c r="D32" s="11" t="s">
        <v>3</v>
      </c>
      <c r="E32" s="1"/>
    </row>
    <row r="33" spans="1:5" x14ac:dyDescent="0.25">
      <c r="A33" s="1"/>
      <c r="B33" s="33" t="s">
        <v>265</v>
      </c>
      <c r="C33" s="28"/>
      <c r="D33" s="19"/>
      <c r="E33" s="1"/>
    </row>
    <row r="34" spans="1:5" x14ac:dyDescent="0.25">
      <c r="A34" s="1"/>
      <c r="B34" s="31" t="s">
        <v>265</v>
      </c>
      <c r="C34" s="10">
        <v>0</v>
      </c>
      <c r="D34" s="11" t="s">
        <v>3</v>
      </c>
      <c r="E34" s="1"/>
    </row>
    <row r="35" spans="1:5" x14ac:dyDescent="0.25">
      <c r="A35" s="1"/>
      <c r="B35" s="30" t="s">
        <v>135</v>
      </c>
      <c r="C35" s="28"/>
      <c r="D35" s="19"/>
      <c r="E35" s="1"/>
    </row>
    <row r="36" spans="1:5" x14ac:dyDescent="0.25">
      <c r="A36" s="1"/>
      <c r="B36" s="71" t="s">
        <v>136</v>
      </c>
      <c r="C36" s="10">
        <v>0</v>
      </c>
      <c r="D36" s="11" t="s">
        <v>3</v>
      </c>
      <c r="E36" s="1"/>
    </row>
    <row r="37" spans="1:5" x14ac:dyDescent="0.25">
      <c r="A37" s="1"/>
      <c r="B37" s="33" t="s">
        <v>266</v>
      </c>
      <c r="C37" s="50">
        <v>22465520.135426305</v>
      </c>
      <c r="D37" s="30" t="s">
        <v>3</v>
      </c>
      <c r="E37" s="1"/>
    </row>
    <row r="38" spans="1:5" ht="30" customHeight="1" x14ac:dyDescent="0.25">
      <c r="A38" s="1"/>
      <c r="B38" s="115" t="s">
        <v>267</v>
      </c>
      <c r="C38" s="115"/>
      <c r="D38" s="115"/>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xAgK+Nt0AgMG0uMrzDH4GkXTO0UvWmVJifp4SPr6Rbk3QB4whcICsYB+tqZS8TeUGtvCQtWaQGAMgLO/r2lpOA==" saltValue="hO6bTbgZ5U07hxTU8A3RL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6" t="s">
        <v>91</v>
      </c>
      <c r="C2" s="116"/>
      <c r="D2" s="116"/>
      <c r="E2" s="116"/>
      <c r="F2" s="116"/>
      <c r="G2" s="116"/>
      <c r="H2" s="116"/>
      <c r="I2" s="1"/>
    </row>
    <row r="3" spans="1:9" ht="28.5" customHeight="1" x14ac:dyDescent="0.25">
      <c r="A3" s="1"/>
      <c r="B3" s="116"/>
      <c r="C3" s="116"/>
      <c r="D3" s="116"/>
      <c r="E3" s="116"/>
      <c r="F3" s="116"/>
      <c r="G3" s="116"/>
      <c r="H3" s="116"/>
      <c r="I3" s="1"/>
    </row>
    <row r="4" spans="1:9" x14ac:dyDescent="0.25">
      <c r="A4" s="1"/>
      <c r="B4" s="120" t="s">
        <v>46</v>
      </c>
      <c r="C4" s="121"/>
      <c r="D4" s="121"/>
      <c r="E4" s="121"/>
      <c r="F4" s="121"/>
      <c r="G4" s="121"/>
      <c r="H4" s="122"/>
      <c r="I4" s="1"/>
    </row>
    <row r="5" spans="1:9" x14ac:dyDescent="0.25">
      <c r="A5" s="1"/>
      <c r="B5" s="123" t="s">
        <v>38</v>
      </c>
      <c r="C5" s="124"/>
      <c r="D5" s="124"/>
      <c r="E5" s="124"/>
      <c r="F5" s="125"/>
      <c r="G5" s="64">
        <v>13381046</v>
      </c>
      <c r="H5" s="14" t="s">
        <v>3</v>
      </c>
      <c r="I5" s="1"/>
    </row>
    <row r="6" spans="1:9" x14ac:dyDescent="0.25">
      <c r="A6" s="1"/>
      <c r="B6" s="117" t="s">
        <v>102</v>
      </c>
      <c r="C6" s="118"/>
      <c r="D6" s="118"/>
      <c r="E6" s="118"/>
      <c r="F6" s="119"/>
      <c r="G6" s="67">
        <v>0</v>
      </c>
      <c r="H6" s="14" t="s">
        <v>3</v>
      </c>
      <c r="I6" s="1"/>
    </row>
    <row r="7" spans="1:9" x14ac:dyDescent="0.25">
      <c r="A7" s="1"/>
      <c r="B7" s="123" t="s">
        <v>39</v>
      </c>
      <c r="C7" s="124"/>
      <c r="D7" s="124"/>
      <c r="E7" s="124"/>
      <c r="F7" s="125"/>
      <c r="G7" s="23">
        <f>SUM(G5:G6)*'Fane 15. Nøgletal'!C33</f>
        <v>267620.92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0" t="s">
        <v>47</v>
      </c>
      <c r="C10" s="121"/>
      <c r="D10" s="121"/>
      <c r="E10" s="121"/>
      <c r="F10" s="121"/>
      <c r="G10" s="121"/>
      <c r="H10" s="122"/>
      <c r="I10" s="1"/>
    </row>
    <row r="11" spans="1:9" x14ac:dyDescent="0.25">
      <c r="A11" s="1"/>
      <c r="B11" s="123" t="s">
        <v>40</v>
      </c>
      <c r="C11" s="124"/>
      <c r="D11" s="124"/>
      <c r="E11" s="124"/>
      <c r="F11" s="125"/>
      <c r="G11" s="23">
        <f>(G5-G7)*(1+'Fane 15. Nøgletal'!C10)</f>
        <v>13342910.018900001</v>
      </c>
      <c r="H11" s="14" t="s">
        <v>3</v>
      </c>
      <c r="I11" s="1"/>
    </row>
    <row r="12" spans="1:9" ht="15" customHeight="1" x14ac:dyDescent="0.25">
      <c r="A12" s="1"/>
      <c r="B12" s="123" t="s">
        <v>103</v>
      </c>
      <c r="C12" s="124"/>
      <c r="D12" s="124"/>
      <c r="E12" s="124"/>
      <c r="F12" s="125"/>
      <c r="G12" s="67">
        <v>0.32045930383261295</v>
      </c>
      <c r="H12" s="14" t="s">
        <v>3</v>
      </c>
      <c r="I12" s="1"/>
    </row>
    <row r="13" spans="1:9" x14ac:dyDescent="0.25">
      <c r="A13" s="1"/>
      <c r="B13" s="117" t="s">
        <v>100</v>
      </c>
      <c r="C13" s="118"/>
      <c r="D13" s="118"/>
      <c r="E13" s="118"/>
      <c r="F13" s="119"/>
      <c r="G13" s="23">
        <v>1243343</v>
      </c>
      <c r="H13" s="14" t="s">
        <v>3</v>
      </c>
      <c r="I13" s="1"/>
    </row>
    <row r="14" spans="1:9" x14ac:dyDescent="0.25">
      <c r="A14" s="1"/>
      <c r="B14" s="126" t="s">
        <v>244</v>
      </c>
      <c r="C14" s="127"/>
      <c r="D14" s="127"/>
      <c r="E14" s="127"/>
      <c r="F14" s="128"/>
      <c r="G14" s="23">
        <v>134464</v>
      </c>
      <c r="H14" s="14" t="s">
        <v>3</v>
      </c>
      <c r="I14" s="1"/>
    </row>
    <row r="15" spans="1:9" x14ac:dyDescent="0.25">
      <c r="A15" s="1"/>
      <c r="B15" s="123" t="s">
        <v>41</v>
      </c>
      <c r="C15" s="124"/>
      <c r="D15" s="124"/>
      <c r="E15" s="124"/>
      <c r="F15" s="125"/>
      <c r="G15" s="23">
        <f>SUM(G11:G14)*'Fane 15. Nøgletal'!C33</f>
        <v>294414.34678718611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0" t="s">
        <v>48</v>
      </c>
      <c r="C18" s="121"/>
      <c r="D18" s="121"/>
      <c r="E18" s="121"/>
      <c r="F18" s="121"/>
      <c r="G18" s="121"/>
      <c r="H18" s="122"/>
      <c r="I18" s="1"/>
    </row>
    <row r="19" spans="1:9" x14ac:dyDescent="0.25">
      <c r="A19" s="1"/>
      <c r="B19" s="123" t="s">
        <v>42</v>
      </c>
      <c r="C19" s="124"/>
      <c r="D19" s="124"/>
      <c r="E19" s="124"/>
      <c r="F19" s="125"/>
      <c r="G19" s="23">
        <f>(SUM(G11:G12,G14)-(G15))*(1+'Fane 15. Nøgletal'!C10)</f>
        <v>13413661.792442132</v>
      </c>
      <c r="H19" s="14" t="s">
        <v>3</v>
      </c>
      <c r="I19" s="1"/>
    </row>
    <row r="20" spans="1:9" x14ac:dyDescent="0.25">
      <c r="A20" s="1"/>
      <c r="B20" s="126" t="s">
        <v>245</v>
      </c>
      <c r="C20" s="127"/>
      <c r="D20" s="127"/>
      <c r="E20" s="127"/>
      <c r="F20" s="128"/>
      <c r="G20" s="67">
        <v>0</v>
      </c>
      <c r="H20" s="14" t="s">
        <v>3</v>
      </c>
      <c r="I20" s="1"/>
    </row>
    <row r="21" spans="1:9" x14ac:dyDescent="0.25">
      <c r="A21" s="1"/>
      <c r="B21" s="123" t="s">
        <v>43</v>
      </c>
      <c r="C21" s="124"/>
      <c r="D21" s="124"/>
      <c r="E21" s="124"/>
      <c r="F21" s="125"/>
      <c r="G21" s="23">
        <f>SUM(G19:G20)*'Fane 15. Nøgletal'!C33</f>
        <v>268273.23584884265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0" t="s">
        <v>49</v>
      </c>
      <c r="C24" s="121"/>
      <c r="D24" s="121"/>
      <c r="E24" s="121"/>
      <c r="F24" s="121"/>
      <c r="G24" s="121"/>
      <c r="H24" s="122"/>
      <c r="I24" s="1"/>
    </row>
    <row r="25" spans="1:9" x14ac:dyDescent="0.25">
      <c r="A25" s="1"/>
      <c r="B25" s="123" t="s">
        <v>44</v>
      </c>
      <c r="C25" s="124"/>
      <c r="D25" s="124"/>
      <c r="E25" s="124"/>
      <c r="F25" s="125"/>
      <c r="G25" s="23">
        <f>(G19+G20-G21)*(1+'Fane 15. Nøgletal'!C12)</f>
        <v>13404352.711158179</v>
      </c>
      <c r="H25" s="14" t="s">
        <v>3</v>
      </c>
      <c r="I25" s="1"/>
    </row>
    <row r="26" spans="1:9" x14ac:dyDescent="0.25">
      <c r="A26" s="1"/>
      <c r="B26" s="126" t="s">
        <v>246</v>
      </c>
      <c r="C26" s="127"/>
      <c r="D26" s="127"/>
      <c r="E26" s="127"/>
      <c r="F26" s="128"/>
      <c r="G26" s="67">
        <v>0</v>
      </c>
      <c r="H26" s="14" t="s">
        <v>3</v>
      </c>
      <c r="I26" s="1"/>
    </row>
    <row r="27" spans="1:9" x14ac:dyDescent="0.25">
      <c r="A27" s="1"/>
      <c r="B27" s="123" t="s">
        <v>45</v>
      </c>
      <c r="C27" s="124"/>
      <c r="D27" s="124"/>
      <c r="E27" s="124"/>
      <c r="F27" s="125"/>
      <c r="G27" s="23">
        <f>(G25+G26)*'Fane 15. Nøgletal'!C33</f>
        <v>268087.05422316358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0" t="s">
        <v>52</v>
      </c>
      <c r="C30" s="121"/>
      <c r="D30" s="121"/>
      <c r="E30" s="121"/>
      <c r="F30" s="121"/>
      <c r="G30" s="121"/>
      <c r="H30" s="122"/>
      <c r="I30" s="1"/>
    </row>
    <row r="31" spans="1:9" x14ac:dyDescent="0.25">
      <c r="A31" s="1"/>
      <c r="B31" s="123" t="s">
        <v>53</v>
      </c>
      <c r="C31" s="124"/>
      <c r="D31" s="124"/>
      <c r="E31" s="124"/>
      <c r="F31" s="125"/>
      <c r="G31" s="23">
        <f>(G25+G26-G27)*(1+'Fane 15. Nøgletal'!C12)</f>
        <v>13395050.090376636</v>
      </c>
      <c r="H31" s="14" t="s">
        <v>3</v>
      </c>
      <c r="I31" s="1"/>
    </row>
    <row r="32" spans="1:9" x14ac:dyDescent="0.25">
      <c r="A32" s="1"/>
      <c r="B32" s="123" t="s">
        <v>243</v>
      </c>
      <c r="C32" s="124"/>
      <c r="D32" s="124"/>
      <c r="E32" s="124"/>
      <c r="F32" s="125"/>
      <c r="G32" s="64">
        <v>0</v>
      </c>
      <c r="H32" s="14" t="s">
        <v>3</v>
      </c>
      <c r="I32" s="1"/>
    </row>
    <row r="33" spans="1:9" x14ac:dyDescent="0.25">
      <c r="A33" s="1"/>
      <c r="B33" s="123" t="s">
        <v>54</v>
      </c>
      <c r="C33" s="124"/>
      <c r="D33" s="124"/>
      <c r="E33" s="124"/>
      <c r="F33" s="125"/>
      <c r="G33" s="23">
        <f>(G31+G32)*'Fane 15. Nøgletal'!C33</f>
        <v>267901.00180753274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0" t="s">
        <v>126</v>
      </c>
      <c r="C36" s="121"/>
      <c r="D36" s="121"/>
      <c r="E36" s="121"/>
      <c r="F36" s="121"/>
      <c r="G36" s="121"/>
      <c r="H36" s="122"/>
      <c r="I36" s="1"/>
    </row>
    <row r="37" spans="1:9" x14ac:dyDescent="0.25">
      <c r="A37" s="1"/>
      <c r="B37" s="123" t="s">
        <v>68</v>
      </c>
      <c r="C37" s="124"/>
      <c r="D37" s="124"/>
      <c r="E37" s="124"/>
      <c r="F37" s="125"/>
      <c r="G37" s="23">
        <f>(G31+G32-G33)*(1+'Fane 15. Nøgletal'!C14)</f>
        <v>13170468.680561382</v>
      </c>
      <c r="H37" s="14" t="s">
        <v>3</v>
      </c>
      <c r="I37" s="1"/>
    </row>
    <row r="38" spans="1:9" x14ac:dyDescent="0.25">
      <c r="A38" s="1"/>
      <c r="B38" s="123" t="s">
        <v>242</v>
      </c>
      <c r="C38" s="124"/>
      <c r="D38" s="124"/>
      <c r="E38" s="124"/>
      <c r="F38" s="125"/>
      <c r="G38" s="64">
        <v>0</v>
      </c>
      <c r="H38" s="14" t="s">
        <v>3</v>
      </c>
      <c r="I38" s="1"/>
    </row>
    <row r="39" spans="1:9" x14ac:dyDescent="0.25">
      <c r="A39" s="1"/>
      <c r="B39" s="123" t="s">
        <v>128</v>
      </c>
      <c r="C39" s="124"/>
      <c r="D39" s="124"/>
      <c r="E39" s="124"/>
      <c r="F39" s="125"/>
      <c r="G39" s="23">
        <f>(G37+G38)*'Fane 15. Nøgletal'!C33</f>
        <v>263409.37361122767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0" t="s">
        <v>127</v>
      </c>
      <c r="C42" s="121"/>
      <c r="D42" s="121"/>
      <c r="E42" s="121"/>
      <c r="F42" s="121"/>
      <c r="G42" s="121"/>
      <c r="H42" s="122"/>
      <c r="I42" s="1"/>
    </row>
    <row r="43" spans="1:9" x14ac:dyDescent="0.25">
      <c r="A43" s="1"/>
      <c r="B43" s="123" t="s">
        <v>155</v>
      </c>
      <c r="C43" s="124"/>
      <c r="D43" s="124"/>
      <c r="E43" s="124"/>
      <c r="F43" s="125"/>
      <c r="G43" s="23">
        <f>(G37+G38-G39)*(1+'Fane 15. Nøgletal'!C14)</f>
        <v>12949652.60266309</v>
      </c>
      <c r="H43" s="14" t="s">
        <v>3</v>
      </c>
      <c r="I43" s="1"/>
    </row>
    <row r="44" spans="1:9" x14ac:dyDescent="0.25">
      <c r="A44" s="1"/>
      <c r="B44" s="129" t="s">
        <v>157</v>
      </c>
      <c r="C44" s="130"/>
      <c r="D44" s="130"/>
      <c r="E44" s="130"/>
      <c r="F44" s="131"/>
      <c r="G44" s="73">
        <v>0</v>
      </c>
      <c r="H44" s="14" t="s">
        <v>3</v>
      </c>
      <c r="I44" s="1"/>
    </row>
    <row r="45" spans="1:9" x14ac:dyDescent="0.25">
      <c r="A45" s="1"/>
      <c r="B45" s="123" t="s">
        <v>129</v>
      </c>
      <c r="C45" s="124"/>
      <c r="D45" s="124"/>
      <c r="E45" s="124"/>
      <c r="F45" s="125"/>
      <c r="G45" s="23">
        <f>SUM(G43:G44)*'Fane 15. Nøgletal'!C33</f>
        <v>258993.05205326181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7"/>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0" t="s">
        <v>192</v>
      </c>
      <c r="C51" s="121"/>
      <c r="D51" s="121"/>
      <c r="E51" s="121"/>
      <c r="F51" s="121"/>
      <c r="G51" s="121"/>
      <c r="H51" s="122"/>
      <c r="I51" s="1"/>
    </row>
    <row r="52" spans="1:9" x14ac:dyDescent="0.25">
      <c r="A52" s="1"/>
      <c r="B52" s="123" t="s">
        <v>154</v>
      </c>
      <c r="C52" s="124"/>
      <c r="D52" s="124"/>
      <c r="E52" s="124"/>
      <c r="F52" s="125"/>
      <c r="G52" s="23">
        <f>(G43+G44-G45)*(1+'Fane 15. Nøgletal'!C16)</f>
        <v>13716064.842299104</v>
      </c>
      <c r="H52" s="14" t="s">
        <v>3</v>
      </c>
      <c r="I52" s="1"/>
    </row>
    <row r="53" spans="1:9" x14ac:dyDescent="0.25">
      <c r="A53" s="1"/>
      <c r="B53" s="81" t="s">
        <v>194</v>
      </c>
      <c r="C53" s="82"/>
      <c r="D53" s="82"/>
      <c r="E53" s="82"/>
      <c r="F53" s="83"/>
      <c r="G53" s="75">
        <f>('Fane 2.1. Økonomisk ramme 2024'!C10+'Fane 2.1. Økonomisk ramme 2024'!C12+'Fane 2.1. Økonomisk ramme 2024'!C14)*(1+'Fane 15. Nøgletal'!C16)</f>
        <v>0</v>
      </c>
      <c r="H53" s="14" t="s">
        <v>3</v>
      </c>
      <c r="I53" s="1"/>
    </row>
    <row r="54" spans="1:9" x14ac:dyDescent="0.25">
      <c r="A54" s="1"/>
      <c r="B54" s="123" t="s">
        <v>210</v>
      </c>
      <c r="C54" s="124"/>
      <c r="D54" s="124"/>
      <c r="E54" s="124"/>
      <c r="F54" s="125"/>
      <c r="G54" s="23">
        <f>(G52)*'Fane 15. Nøgletal'!C33+(G53)*'Fane 15. Nøgletal'!C33</f>
        <v>274321.29684598208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0" t="s">
        <v>193</v>
      </c>
      <c r="C57" s="121"/>
      <c r="D57" s="121"/>
      <c r="E57" s="121"/>
      <c r="F57" s="121"/>
      <c r="G57" s="121"/>
      <c r="H57" s="122"/>
      <c r="I57" s="1"/>
    </row>
    <row r="58" spans="1:9" x14ac:dyDescent="0.25">
      <c r="A58" s="1"/>
      <c r="B58" s="81" t="s">
        <v>212</v>
      </c>
      <c r="C58" s="82"/>
      <c r="D58" s="82"/>
      <c r="E58" s="82"/>
      <c r="F58" s="83"/>
      <c r="G58" s="23">
        <f>(G52+G53-G54)*(1+'Fane 15. Nøgletal'!C16)</f>
        <v>14527836.423925733</v>
      </c>
      <c r="H58" s="14" t="s">
        <v>3</v>
      </c>
      <c r="I58" s="1"/>
    </row>
    <row r="59" spans="1:9" x14ac:dyDescent="0.25">
      <c r="A59" s="1"/>
      <c r="B59" s="81" t="s">
        <v>211</v>
      </c>
      <c r="C59" s="82"/>
      <c r="D59" s="82"/>
      <c r="E59" s="82"/>
      <c r="F59" s="83"/>
      <c r="G59" s="23">
        <f>(G58)*'Fane 15. Nøgletal'!C33</f>
        <v>290556.72847851465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0" t="s">
        <v>256</v>
      </c>
      <c r="C62" s="121"/>
      <c r="D62" s="121"/>
      <c r="E62" s="121"/>
      <c r="F62" s="121"/>
      <c r="G62" s="121"/>
      <c r="H62" s="122"/>
      <c r="I62" s="1"/>
    </row>
    <row r="63" spans="1:9" x14ac:dyDescent="0.25">
      <c r="A63" s="1"/>
      <c r="B63" s="81" t="s">
        <v>213</v>
      </c>
      <c r="C63" s="82"/>
      <c r="D63" s="82"/>
      <c r="E63" s="82"/>
      <c r="F63" s="83"/>
      <c r="G63" s="23">
        <f>(G58-G59)*(1+'Fane 15. Nøgletal'!C16)</f>
        <v>15387651.894839352</v>
      </c>
      <c r="H63" s="14" t="s">
        <v>3</v>
      </c>
      <c r="I63" s="1"/>
    </row>
    <row r="64" spans="1:9" x14ac:dyDescent="0.25">
      <c r="A64" s="1"/>
      <c r="B64" s="81" t="s">
        <v>214</v>
      </c>
      <c r="C64" s="82"/>
      <c r="D64" s="82"/>
      <c r="E64" s="82"/>
      <c r="F64" s="83"/>
      <c r="G64" s="23">
        <f>(G63)*'Fane 15. Nøgletal'!C33</f>
        <v>307753.03789678705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20" t="s">
        <v>257</v>
      </c>
      <c r="C67" s="121"/>
      <c r="D67" s="121"/>
      <c r="E67" s="121"/>
      <c r="F67" s="121"/>
      <c r="G67" s="121"/>
      <c r="H67" s="122"/>
      <c r="I67" s="1"/>
    </row>
    <row r="68" spans="1:9" x14ac:dyDescent="0.25">
      <c r="A68" s="1"/>
      <c r="B68" s="81" t="s">
        <v>213</v>
      </c>
      <c r="C68" s="82"/>
      <c r="D68" s="82"/>
      <c r="E68" s="82"/>
      <c r="F68" s="83"/>
      <c r="G68" s="23">
        <f>(G63-G64)*(1+'Fane 15. Nøgletal'!C16)</f>
        <v>16298354.684583522</v>
      </c>
      <c r="H68" s="14" t="s">
        <v>3</v>
      </c>
      <c r="I68" s="1"/>
    </row>
    <row r="69" spans="1:9" x14ac:dyDescent="0.25">
      <c r="A69" s="1"/>
      <c r="B69" s="81" t="s">
        <v>214</v>
      </c>
      <c r="C69" s="82"/>
      <c r="D69" s="82"/>
      <c r="E69" s="82"/>
      <c r="F69" s="83"/>
      <c r="G69" s="23">
        <f>(G68)*'Fane 15. Nøgletal'!C33</f>
        <v>325967.09369167045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2"/>
      <c r="B74" s="62"/>
      <c r="C74" s="62"/>
      <c r="D74" s="62"/>
      <c r="E74" s="62"/>
      <c r="F74" s="62"/>
      <c r="G74" s="62"/>
      <c r="H74" s="62"/>
      <c r="I74" s="62"/>
    </row>
    <row r="75" spans="1:9" x14ac:dyDescent="0.25">
      <c r="A75" s="62"/>
      <c r="B75" s="62"/>
      <c r="C75" s="62"/>
      <c r="D75" s="62"/>
      <c r="E75" s="62"/>
      <c r="F75" s="62"/>
      <c r="G75" s="62"/>
      <c r="H75" s="62"/>
      <c r="I75" s="62"/>
    </row>
    <row r="76" spans="1:9" x14ac:dyDescent="0.25">
      <c r="A76" s="62"/>
      <c r="B76" s="62"/>
      <c r="C76" s="62"/>
      <c r="D76" s="62"/>
      <c r="E76" s="62"/>
      <c r="F76" s="62"/>
      <c r="G76" s="62"/>
      <c r="H76" s="62"/>
      <c r="I76" s="62"/>
    </row>
    <row r="77" spans="1:9" x14ac:dyDescent="0.25">
      <c r="A77" s="62"/>
      <c r="B77" s="62"/>
      <c r="C77" s="62"/>
      <c r="D77" s="62"/>
      <c r="E77" s="62"/>
      <c r="F77" s="62"/>
      <c r="G77" s="62"/>
      <c r="H77" s="62"/>
      <c r="I77" s="62"/>
    </row>
    <row r="78" spans="1:9" x14ac:dyDescent="0.25">
      <c r="A78" s="62"/>
      <c r="B78" s="62"/>
      <c r="C78" s="62"/>
      <c r="D78" s="62"/>
      <c r="E78" s="62"/>
      <c r="F78" s="62"/>
      <c r="G78" s="62"/>
      <c r="H78" s="62"/>
      <c r="I78" s="62"/>
    </row>
    <row r="79" spans="1:9" x14ac:dyDescent="0.25">
      <c r="A79" s="62"/>
      <c r="B79" s="62"/>
      <c r="C79" s="62"/>
      <c r="D79" s="62"/>
      <c r="E79" s="62"/>
      <c r="F79" s="62"/>
      <c r="G79" s="62"/>
      <c r="H79" s="62"/>
      <c r="I79" s="62"/>
    </row>
    <row r="80" spans="1:9" x14ac:dyDescent="0.25">
      <c r="A80" s="62"/>
      <c r="B80" s="62"/>
      <c r="C80" s="62"/>
      <c r="D80" s="62"/>
      <c r="E80" s="62"/>
      <c r="F80" s="62"/>
      <c r="G80" s="62"/>
      <c r="H80" s="62"/>
      <c r="I80" s="62"/>
    </row>
    <row r="81" spans="1:9" x14ac:dyDescent="0.25">
      <c r="A81" s="62"/>
      <c r="B81" s="62"/>
      <c r="C81" s="62"/>
      <c r="D81" s="62"/>
      <c r="E81" s="62"/>
      <c r="F81" s="62"/>
      <c r="G81" s="62"/>
      <c r="H81" s="62"/>
      <c r="I81" s="62"/>
    </row>
    <row r="82" spans="1:9" x14ac:dyDescent="0.25">
      <c r="A82" s="62"/>
      <c r="B82" s="62"/>
      <c r="C82" s="62"/>
      <c r="D82" s="62"/>
      <c r="E82" s="62"/>
      <c r="F82" s="62"/>
      <c r="G82" s="62"/>
      <c r="H82" s="62"/>
      <c r="I82" s="62"/>
    </row>
    <row r="83" spans="1:9" x14ac:dyDescent="0.25">
      <c r="A83" s="62"/>
      <c r="B83" s="62"/>
      <c r="C83" s="62"/>
      <c r="D83" s="62"/>
      <c r="E83" s="62"/>
      <c r="F83" s="62"/>
      <c r="G83" s="62"/>
      <c r="H83" s="62"/>
      <c r="I83" s="62"/>
    </row>
    <row r="84" spans="1:9" x14ac:dyDescent="0.25">
      <c r="A84" s="62"/>
      <c r="B84" s="62"/>
      <c r="C84" s="62"/>
      <c r="D84" s="62"/>
      <c r="E84" s="62"/>
      <c r="F84" s="62"/>
      <c r="G84" s="62"/>
      <c r="H84" s="62"/>
      <c r="I84" s="62"/>
    </row>
    <row r="85" spans="1:9" x14ac:dyDescent="0.25">
      <c r="A85" s="62"/>
      <c r="B85" s="62"/>
      <c r="C85" s="62"/>
      <c r="D85" s="62"/>
      <c r="E85" s="62"/>
      <c r="F85" s="62"/>
      <c r="G85" s="62"/>
      <c r="H85" s="62"/>
      <c r="I85" s="62"/>
    </row>
    <row r="86" spans="1:9" x14ac:dyDescent="0.25">
      <c r="A86" s="62"/>
      <c r="B86" s="62"/>
      <c r="C86" s="62"/>
      <c r="D86" s="62"/>
      <c r="E86" s="62"/>
      <c r="F86" s="62"/>
      <c r="G86" s="62"/>
      <c r="H86" s="62"/>
      <c r="I86" s="62"/>
    </row>
    <row r="87" spans="1:9" x14ac:dyDescent="0.25">
      <c r="A87" s="62"/>
      <c r="B87" s="62"/>
      <c r="C87" s="62"/>
      <c r="D87" s="62"/>
      <c r="E87" s="62"/>
      <c r="F87" s="62"/>
      <c r="G87" s="62"/>
      <c r="H87" s="62"/>
      <c r="I87" s="62"/>
    </row>
    <row r="88" spans="1:9" x14ac:dyDescent="0.25">
      <c r="A88" s="62"/>
      <c r="B88" s="62"/>
      <c r="C88" s="62"/>
      <c r="D88" s="62"/>
      <c r="E88" s="62"/>
      <c r="F88" s="62"/>
      <c r="G88" s="62"/>
      <c r="H88" s="62"/>
      <c r="I88" s="62"/>
    </row>
    <row r="89" spans="1:9" x14ac:dyDescent="0.25">
      <c r="A89" s="62"/>
      <c r="B89" s="62"/>
      <c r="C89" s="62"/>
      <c r="D89" s="62"/>
      <c r="E89" s="62"/>
      <c r="F89" s="62"/>
      <c r="G89" s="62"/>
      <c r="H89" s="62"/>
      <c r="I89" s="62"/>
    </row>
    <row r="90" spans="1:9" x14ac:dyDescent="0.25">
      <c r="A90" s="62"/>
      <c r="B90" s="62"/>
      <c r="C90" s="62"/>
      <c r="D90" s="62"/>
      <c r="E90" s="62"/>
      <c r="F90" s="62"/>
      <c r="G90" s="62"/>
      <c r="H90" s="62"/>
      <c r="I90" s="62"/>
    </row>
    <row r="91" spans="1:9" x14ac:dyDescent="0.25">
      <c r="A91" s="62"/>
      <c r="B91" s="62"/>
      <c r="C91" s="62"/>
      <c r="D91" s="62"/>
      <c r="E91" s="62"/>
      <c r="F91" s="62"/>
      <c r="G91" s="62"/>
      <c r="H91" s="62"/>
      <c r="I91" s="62"/>
    </row>
    <row r="92" spans="1:9" x14ac:dyDescent="0.25">
      <c r="A92" s="62"/>
      <c r="B92" s="62"/>
      <c r="C92" s="62"/>
      <c r="D92" s="62"/>
      <c r="E92" s="62"/>
      <c r="F92" s="62"/>
      <c r="G92" s="62"/>
      <c r="H92" s="62"/>
      <c r="I92" s="62"/>
    </row>
    <row r="93" spans="1:9" x14ac:dyDescent="0.25">
      <c r="A93" s="62"/>
      <c r="B93" s="62"/>
      <c r="C93" s="62"/>
      <c r="D93" s="62"/>
      <c r="E93" s="62"/>
      <c r="F93" s="62"/>
      <c r="G93" s="62"/>
      <c r="H93" s="62"/>
      <c r="I93" s="62"/>
    </row>
    <row r="94" spans="1:9" x14ac:dyDescent="0.25">
      <c r="A94" s="62"/>
      <c r="B94" s="62"/>
      <c r="C94" s="62"/>
      <c r="D94" s="62"/>
      <c r="E94" s="62"/>
      <c r="F94" s="62"/>
      <c r="G94" s="62"/>
      <c r="H94" s="62"/>
      <c r="I94" s="62"/>
    </row>
    <row r="95" spans="1:9" x14ac:dyDescent="0.25">
      <c r="A95" s="62"/>
      <c r="B95" s="62"/>
      <c r="C95" s="62"/>
      <c r="D95" s="62"/>
      <c r="E95" s="62"/>
      <c r="F95" s="62"/>
      <c r="G95" s="62"/>
      <c r="H95" s="62"/>
      <c r="I95" s="62"/>
    </row>
    <row r="96" spans="1:9" x14ac:dyDescent="0.25">
      <c r="A96" s="62"/>
      <c r="B96" s="62"/>
      <c r="C96" s="62"/>
      <c r="D96" s="62"/>
      <c r="E96" s="62"/>
      <c r="F96" s="62"/>
      <c r="G96" s="62"/>
      <c r="H96" s="62"/>
      <c r="I96" s="62"/>
    </row>
    <row r="97" spans="1:9" x14ac:dyDescent="0.25">
      <c r="A97" s="62"/>
      <c r="B97" s="62"/>
      <c r="C97" s="62"/>
      <c r="D97" s="62"/>
      <c r="E97" s="62"/>
      <c r="F97" s="62"/>
      <c r="G97" s="62"/>
      <c r="H97" s="62"/>
      <c r="I97" s="62"/>
    </row>
    <row r="98" spans="1:9" x14ac:dyDescent="0.25">
      <c r="A98" s="62"/>
      <c r="B98" s="62"/>
      <c r="C98" s="62"/>
      <c r="D98" s="62"/>
      <c r="E98" s="62"/>
      <c r="F98" s="62"/>
      <c r="G98" s="62"/>
      <c r="H98" s="62"/>
      <c r="I98" s="62"/>
    </row>
    <row r="99" spans="1:9" x14ac:dyDescent="0.25">
      <c r="A99" s="62"/>
      <c r="B99" s="62"/>
      <c r="C99" s="62"/>
      <c r="D99" s="62"/>
      <c r="E99" s="62"/>
      <c r="F99" s="62"/>
      <c r="G99" s="62"/>
      <c r="H99" s="62"/>
      <c r="I99" s="62"/>
    </row>
  </sheetData>
  <sheetProtection algorithmName="SHA-512" hashValue="ydanMdNAOorJMclbWYIhnGFPEK7joC7nWayWbeQZMa5/Bx59ovB1HFUDuqK+0QVXhdhi0cWeZ1cmXWG8ea5UKQ==" saltValue="kBBKU3wqCypDRoN0QiRgE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2" t="s">
        <v>92</v>
      </c>
      <c r="C1" s="132"/>
      <c r="D1" s="132"/>
      <c r="E1" s="132"/>
      <c r="F1" s="132"/>
      <c r="G1" s="132"/>
      <c r="H1" s="132"/>
      <c r="I1" s="1"/>
    </row>
    <row r="2" spans="1:9" ht="15"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20" t="s">
        <v>50</v>
      </c>
      <c r="C4" s="121"/>
      <c r="D4" s="121"/>
      <c r="E4" s="121"/>
      <c r="F4" s="121"/>
      <c r="G4" s="121"/>
      <c r="H4" s="122"/>
      <c r="I4" s="1"/>
    </row>
    <row r="5" spans="1:9" x14ac:dyDescent="0.25">
      <c r="A5" s="1"/>
      <c r="B5" s="123" t="s">
        <v>55</v>
      </c>
      <c r="C5" s="124"/>
      <c r="D5" s="124"/>
      <c r="E5" s="124"/>
      <c r="F5" s="125"/>
      <c r="G5" s="64">
        <v>9445010</v>
      </c>
      <c r="H5" s="14" t="s">
        <v>3</v>
      </c>
      <c r="I5" s="1"/>
    </row>
    <row r="6" spans="1:9" x14ac:dyDescent="0.25">
      <c r="A6" s="1"/>
      <c r="B6" s="123" t="s">
        <v>51</v>
      </c>
      <c r="C6" s="124"/>
      <c r="D6" s="124"/>
      <c r="E6" s="124"/>
      <c r="F6" s="125"/>
      <c r="G6" s="23">
        <f>G5*'Fane 15. Nøgletal'!C21</f>
        <v>85949.591</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0" t="s">
        <v>56</v>
      </c>
      <c r="C9" s="121"/>
      <c r="D9" s="121"/>
      <c r="E9" s="121"/>
      <c r="F9" s="121"/>
      <c r="G9" s="121"/>
      <c r="H9" s="122"/>
      <c r="I9" s="1"/>
    </row>
    <row r="10" spans="1:9" x14ac:dyDescent="0.25">
      <c r="A10" s="1"/>
      <c r="B10" s="123" t="s">
        <v>57</v>
      </c>
      <c r="C10" s="124"/>
      <c r="D10" s="124"/>
      <c r="E10" s="124"/>
      <c r="F10" s="125"/>
      <c r="G10" s="23">
        <f>(G5-G6)*(1+'Fane 15. Nøgletal'!C10)</f>
        <v>9522843.9661575016</v>
      </c>
      <c r="H10" s="14" t="s">
        <v>3</v>
      </c>
      <c r="I10" s="1"/>
    </row>
    <row r="11" spans="1:9" x14ac:dyDescent="0.25">
      <c r="A11" s="1"/>
      <c r="B11" s="123" t="s">
        <v>104</v>
      </c>
      <c r="C11" s="124"/>
      <c r="D11" s="124"/>
      <c r="E11" s="124"/>
      <c r="F11" s="125"/>
      <c r="G11" s="64">
        <v>-1603923.157155863</v>
      </c>
      <c r="H11" s="14" t="s">
        <v>3</v>
      </c>
      <c r="I11" s="1"/>
    </row>
    <row r="12" spans="1:9" x14ac:dyDescent="0.25">
      <c r="A12" s="1"/>
      <c r="B12" s="126" t="s">
        <v>247</v>
      </c>
      <c r="C12" s="127"/>
      <c r="D12" s="127"/>
      <c r="E12" s="127"/>
      <c r="F12" s="128"/>
      <c r="G12" s="67">
        <v>0</v>
      </c>
      <c r="H12" s="14" t="s">
        <v>3</v>
      </c>
      <c r="I12" s="1"/>
    </row>
    <row r="13" spans="1:9" x14ac:dyDescent="0.25">
      <c r="A13" s="1"/>
      <c r="B13" s="123" t="s">
        <v>58</v>
      </c>
      <c r="C13" s="124"/>
      <c r="D13" s="124"/>
      <c r="E13" s="124"/>
      <c r="F13" s="125"/>
      <c r="G13" s="23">
        <f>SUM(G10:G12)*'Fane 15. Nøgletal'!C22</f>
        <v>140164.89831932902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0" t="s">
        <v>59</v>
      </c>
      <c r="C16" s="121"/>
      <c r="D16" s="121"/>
      <c r="E16" s="121"/>
      <c r="F16" s="121"/>
      <c r="G16" s="121"/>
      <c r="H16" s="122"/>
      <c r="I16" s="1"/>
    </row>
    <row r="17" spans="1:9" x14ac:dyDescent="0.25">
      <c r="A17" s="1"/>
      <c r="B17" s="123" t="s">
        <v>60</v>
      </c>
      <c r="C17" s="124"/>
      <c r="D17" s="124"/>
      <c r="E17" s="124"/>
      <c r="F17" s="125"/>
      <c r="G17" s="23">
        <f>(SUM(G10:G12)-G13)*(1+'Fane 15. Nøgletal'!C10)</f>
        <v>7914884.1391192507</v>
      </c>
      <c r="H17" s="14" t="s">
        <v>3</v>
      </c>
      <c r="I17" s="1"/>
    </row>
    <row r="18" spans="1:9" x14ac:dyDescent="0.25">
      <c r="A18" s="1"/>
      <c r="B18" s="126" t="s">
        <v>248</v>
      </c>
      <c r="C18" s="127"/>
      <c r="D18" s="127"/>
      <c r="E18" s="127"/>
      <c r="F18" s="128"/>
      <c r="G18" s="64">
        <v>0</v>
      </c>
      <c r="H18" s="14" t="s">
        <v>3</v>
      </c>
      <c r="I18" s="1"/>
    </row>
    <row r="19" spans="1:9" x14ac:dyDescent="0.25">
      <c r="A19" s="1"/>
      <c r="B19" s="123" t="s">
        <v>61</v>
      </c>
      <c r="C19" s="124"/>
      <c r="D19" s="124"/>
      <c r="E19" s="124"/>
      <c r="F19" s="125"/>
      <c r="G19" s="23">
        <f>G17*'Fane 15. Nøgletal'!C22+G18*'Fane 15. Nøgletal'!C23</f>
        <v>140093.44926241075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0" t="s">
        <v>62</v>
      </c>
      <c r="C22" s="121"/>
      <c r="D22" s="121"/>
      <c r="E22" s="121"/>
      <c r="F22" s="121"/>
      <c r="G22" s="121"/>
      <c r="H22" s="122"/>
      <c r="I22" s="1"/>
    </row>
    <row r="23" spans="1:9" x14ac:dyDescent="0.25">
      <c r="A23" s="1"/>
      <c r="B23" s="123" t="s">
        <v>63</v>
      </c>
      <c r="C23" s="124"/>
      <c r="D23" s="124"/>
      <c r="E23" s="124"/>
      <c r="F23" s="125"/>
      <c r="G23" s="23">
        <f>(G17+G18-G19)*(1+'Fane 15. Nøgletal'!C12)</f>
        <v>7927954.0664470205</v>
      </c>
      <c r="H23" s="14" t="s">
        <v>3</v>
      </c>
      <c r="I23" s="1"/>
    </row>
    <row r="24" spans="1:9" x14ac:dyDescent="0.25">
      <c r="A24" s="1"/>
      <c r="B24" s="126" t="s">
        <v>249</v>
      </c>
      <c r="C24" s="127"/>
      <c r="D24" s="127"/>
      <c r="E24" s="127"/>
      <c r="F24" s="128"/>
      <c r="G24" s="64">
        <v>0</v>
      </c>
      <c r="H24" s="14" t="s">
        <v>3</v>
      </c>
      <c r="I24" s="1"/>
    </row>
    <row r="25" spans="1:9" x14ac:dyDescent="0.25">
      <c r="A25" s="1"/>
      <c r="B25" s="123" t="s">
        <v>64</v>
      </c>
      <c r="C25" s="124"/>
      <c r="D25" s="124"/>
      <c r="E25" s="124"/>
      <c r="F25" s="125"/>
      <c r="G25" s="23">
        <f>(G23+G24)*'Fane 15. Nøgletal'!C24</f>
        <v>225153.8954870954</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0" t="s">
        <v>65</v>
      </c>
      <c r="C28" s="121"/>
      <c r="D28" s="121"/>
      <c r="E28" s="121"/>
      <c r="F28" s="121"/>
      <c r="G28" s="121"/>
      <c r="H28" s="122"/>
      <c r="I28" s="1"/>
    </row>
    <row r="29" spans="1:9" x14ac:dyDescent="0.25">
      <c r="A29" s="1"/>
      <c r="B29" s="123" t="s">
        <v>66</v>
      </c>
      <c r="C29" s="124"/>
      <c r="D29" s="124"/>
      <c r="E29" s="124"/>
      <c r="F29" s="125"/>
      <c r="G29" s="23">
        <f>(G23+G24-G25)*(1+'Fane 15. Nøgletal'!C12)</f>
        <v>7854545.3343278365</v>
      </c>
      <c r="H29" s="14" t="s">
        <v>3</v>
      </c>
      <c r="I29" s="1"/>
    </row>
    <row r="30" spans="1:9" x14ac:dyDescent="0.25">
      <c r="A30" s="1"/>
      <c r="B30" s="123" t="s">
        <v>250</v>
      </c>
      <c r="C30" s="124"/>
      <c r="D30" s="124"/>
      <c r="E30" s="124"/>
      <c r="F30" s="125"/>
      <c r="G30" s="64">
        <v>2071155.19197636</v>
      </c>
      <c r="H30" s="14" t="s">
        <v>3</v>
      </c>
      <c r="I30" s="1"/>
    </row>
    <row r="31" spans="1:9" x14ac:dyDescent="0.25">
      <c r="A31" s="1"/>
      <c r="B31" s="123" t="s">
        <v>67</v>
      </c>
      <c r="C31" s="124"/>
      <c r="D31" s="124"/>
      <c r="E31" s="124"/>
      <c r="F31" s="125"/>
      <c r="G31" s="23">
        <f>G29*'Fane 15. Nøgletal'!C24+G30*'Fane 15. Nøgletal'!C25</f>
        <v>280025.85527426051</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0" t="s">
        <v>130</v>
      </c>
      <c r="C34" s="121"/>
      <c r="D34" s="121"/>
      <c r="E34" s="121"/>
      <c r="F34" s="121"/>
      <c r="G34" s="121"/>
      <c r="H34" s="122"/>
      <c r="I34" s="1"/>
    </row>
    <row r="35" spans="1:9" x14ac:dyDescent="0.25">
      <c r="A35" s="1"/>
      <c r="B35" s="123" t="s">
        <v>215</v>
      </c>
      <c r="C35" s="124"/>
      <c r="D35" s="124"/>
      <c r="E35" s="124"/>
      <c r="F35" s="125"/>
      <c r="G35" s="23">
        <f>(G29+G30-G31)*(1+'Fane 15. Nøgletal'!C14)</f>
        <v>9677505.3974443357</v>
      </c>
      <c r="H35" s="14" t="s">
        <v>3</v>
      </c>
      <c r="I35" s="1"/>
    </row>
    <row r="36" spans="1:9" x14ac:dyDescent="0.25">
      <c r="A36" s="1"/>
      <c r="B36" s="123" t="s">
        <v>251</v>
      </c>
      <c r="C36" s="124"/>
      <c r="D36" s="124"/>
      <c r="E36" s="124"/>
      <c r="F36" s="125"/>
      <c r="G36" s="64">
        <v>0</v>
      </c>
      <c r="H36" s="14" t="s">
        <v>3</v>
      </c>
      <c r="I36" s="1"/>
    </row>
    <row r="37" spans="1:9" x14ac:dyDescent="0.25">
      <c r="A37" s="1"/>
      <c r="B37" s="123" t="s">
        <v>131</v>
      </c>
      <c r="C37" s="124"/>
      <c r="D37" s="124"/>
      <c r="E37" s="124"/>
      <c r="F37" s="125"/>
      <c r="G37" s="23">
        <f>(G35+G36)*'Fane 15. Nøgletal'!C26</f>
        <v>143227.07988217619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0" t="s">
        <v>151</v>
      </c>
      <c r="C40" s="121"/>
      <c r="D40" s="121"/>
      <c r="E40" s="121"/>
      <c r="F40" s="121"/>
      <c r="G40" s="121"/>
      <c r="H40" s="122"/>
      <c r="I40" s="1"/>
    </row>
    <row r="41" spans="1:9" x14ac:dyDescent="0.25">
      <c r="A41" s="1"/>
      <c r="B41" s="123" t="s">
        <v>216</v>
      </c>
      <c r="C41" s="124"/>
      <c r="D41" s="124"/>
      <c r="E41" s="124"/>
      <c r="F41" s="125"/>
      <c r="G41" s="23">
        <f>(G35+G36-G37)*(1+'Fane 15. Nøgletal'!C14)</f>
        <v>9565741.4360101148</v>
      </c>
      <c r="H41" s="14" t="s">
        <v>3</v>
      </c>
      <c r="I41" s="1"/>
    </row>
    <row r="42" spans="1:9" x14ac:dyDescent="0.25">
      <c r="A42" s="1"/>
      <c r="B42" s="41" t="s">
        <v>156</v>
      </c>
      <c r="C42" s="82"/>
      <c r="D42" s="82"/>
      <c r="E42" s="82"/>
      <c r="F42" s="83"/>
      <c r="G42" s="67">
        <v>0</v>
      </c>
      <c r="H42" s="14" t="s">
        <v>3</v>
      </c>
      <c r="I42" s="1"/>
    </row>
    <row r="43" spans="1:9" x14ac:dyDescent="0.25">
      <c r="A43" s="1"/>
      <c r="B43" s="123" t="s">
        <v>132</v>
      </c>
      <c r="C43" s="124"/>
      <c r="D43" s="124"/>
      <c r="E43" s="124"/>
      <c r="F43" s="125"/>
      <c r="G43" s="23">
        <f>(G41)*'Fane 15. Nøgletal'!C26+G42*'Fane 15. Nøgletal'!C27</f>
        <v>141572.97325294971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0" t="s">
        <v>259</v>
      </c>
      <c r="C52" s="121"/>
      <c r="D52" s="121"/>
      <c r="E52" s="121"/>
      <c r="F52" s="121"/>
      <c r="G52" s="121"/>
      <c r="H52" s="122"/>
      <c r="I52" s="1"/>
    </row>
    <row r="53" spans="1:9" x14ac:dyDescent="0.25">
      <c r="A53" s="1"/>
      <c r="B53" s="123" t="s">
        <v>217</v>
      </c>
      <c r="C53" s="124"/>
      <c r="D53" s="124"/>
      <c r="E53" s="124"/>
      <c r="F53" s="125"/>
      <c r="G53" s="23">
        <f>(G41+G42-G43)*(1+'Fane 15. Nøgletal'!C16)</f>
        <v>10185641.274547944</v>
      </c>
      <c r="H53" s="14" t="s">
        <v>3</v>
      </c>
      <c r="I53" s="1"/>
    </row>
    <row r="54" spans="1:9" x14ac:dyDescent="0.25">
      <c r="A54" s="1"/>
      <c r="B54" s="81" t="s">
        <v>195</v>
      </c>
      <c r="C54" s="82"/>
      <c r="D54" s="82"/>
      <c r="E54" s="82"/>
      <c r="F54" s="83"/>
      <c r="G54" s="23">
        <f>('Fane 2.1. Økonomisk ramme 2024'!C11+'Fane 2.1. Økonomisk ramme 2024'!C13+'Fane 2.1. Økonomisk ramme 2024'!C15)*(1+'Fane 15. Nøgletal'!C16)</f>
        <v>18071055.283277467</v>
      </c>
      <c r="H54" s="14" t="s">
        <v>3</v>
      </c>
      <c r="I54" s="1"/>
    </row>
    <row r="55" spans="1:9" x14ac:dyDescent="0.25">
      <c r="A55" s="1"/>
      <c r="B55" s="123" t="s">
        <v>218</v>
      </c>
      <c r="C55" s="124"/>
      <c r="D55" s="124"/>
      <c r="E55" s="124"/>
      <c r="F55" s="125"/>
      <c r="G55" s="67">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20" t="s">
        <v>258</v>
      </c>
      <c r="C58" s="121"/>
      <c r="D58" s="121"/>
      <c r="E58" s="121"/>
      <c r="F58" s="121"/>
      <c r="G58" s="121"/>
      <c r="H58" s="122"/>
      <c r="I58" s="1"/>
    </row>
    <row r="59" spans="1:9" x14ac:dyDescent="0.25">
      <c r="A59" s="1"/>
      <c r="B59" s="123" t="s">
        <v>219</v>
      </c>
      <c r="C59" s="124"/>
      <c r="D59" s="124"/>
      <c r="E59" s="124"/>
      <c r="F59" s="125"/>
      <c r="G59" s="23">
        <f>(G53+G54-G55)*(1+'Fane 15. Nøgletal'!C16)</f>
        <v>30539837.639697701</v>
      </c>
      <c r="H59" s="14" t="s">
        <v>3</v>
      </c>
      <c r="I59" s="1"/>
    </row>
    <row r="60" spans="1:9" x14ac:dyDescent="0.25">
      <c r="A60" s="1"/>
      <c r="B60" s="123" t="s">
        <v>220</v>
      </c>
      <c r="C60" s="124"/>
      <c r="D60" s="124"/>
      <c r="E60" s="124"/>
      <c r="F60" s="125"/>
      <c r="G60" s="67">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20" t="s">
        <v>141</v>
      </c>
      <c r="C63" s="121"/>
      <c r="D63" s="121"/>
      <c r="E63" s="121"/>
      <c r="F63" s="121"/>
      <c r="G63" s="121"/>
      <c r="H63" s="122"/>
      <c r="I63" s="1"/>
    </row>
    <row r="64" spans="1:9" x14ac:dyDescent="0.25">
      <c r="A64" s="1"/>
      <c r="B64" s="123" t="s">
        <v>221</v>
      </c>
      <c r="C64" s="124"/>
      <c r="D64" s="124"/>
      <c r="E64" s="124"/>
      <c r="F64" s="125"/>
      <c r="G64" s="23">
        <f>(G59-G60)*(1+'Fane 15. Nøgletal'!C16)</f>
        <v>33007456.520985276</v>
      </c>
      <c r="H64" s="14" t="s">
        <v>3</v>
      </c>
      <c r="I64" s="1"/>
    </row>
    <row r="65" spans="1:9" x14ac:dyDescent="0.25">
      <c r="A65" s="1"/>
      <c r="B65" s="123" t="s">
        <v>222</v>
      </c>
      <c r="C65" s="124"/>
      <c r="D65" s="124"/>
      <c r="E65" s="124"/>
      <c r="F65" s="125"/>
      <c r="G65" s="67">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20" t="s">
        <v>223</v>
      </c>
      <c r="C68" s="121"/>
      <c r="D68" s="121"/>
      <c r="E68" s="121"/>
      <c r="F68" s="121"/>
      <c r="G68" s="121"/>
      <c r="H68" s="122"/>
      <c r="I68" s="1"/>
    </row>
    <row r="69" spans="1:9" x14ac:dyDescent="0.25">
      <c r="A69" s="1"/>
      <c r="B69" s="123" t="s">
        <v>221</v>
      </c>
      <c r="C69" s="124"/>
      <c r="D69" s="124"/>
      <c r="E69" s="124"/>
      <c r="F69" s="125"/>
      <c r="G69" s="23">
        <f>(G64-G65)*(1+'Fane 15. Nøgletal'!C16)</f>
        <v>35674459.007880889</v>
      </c>
      <c r="H69" s="14" t="s">
        <v>3</v>
      </c>
      <c r="I69" s="1"/>
    </row>
    <row r="70" spans="1:9" x14ac:dyDescent="0.25">
      <c r="A70" s="1"/>
      <c r="B70" s="123" t="s">
        <v>222</v>
      </c>
      <c r="C70" s="124"/>
      <c r="D70" s="124"/>
      <c r="E70" s="124"/>
      <c r="F70" s="125"/>
      <c r="G70" s="67">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2"/>
      <c r="B75" s="62"/>
      <c r="C75" s="62"/>
      <c r="D75" s="62"/>
      <c r="E75" s="62"/>
      <c r="F75" s="62"/>
      <c r="G75" s="62"/>
      <c r="H75" s="62"/>
      <c r="I75" s="62"/>
    </row>
    <row r="76" spans="1:9" x14ac:dyDescent="0.25">
      <c r="A76" s="62"/>
      <c r="B76" s="62"/>
      <c r="C76" s="62"/>
      <c r="D76" s="62"/>
      <c r="E76" s="62"/>
      <c r="F76" s="62"/>
      <c r="G76" s="62"/>
      <c r="H76" s="62"/>
      <c r="I76" s="62"/>
    </row>
    <row r="77" spans="1:9" x14ac:dyDescent="0.25">
      <c r="A77" s="62"/>
      <c r="B77" s="62"/>
      <c r="C77" s="62"/>
      <c r="D77" s="62"/>
      <c r="E77" s="62"/>
      <c r="F77" s="62"/>
      <c r="G77" s="62"/>
      <c r="H77" s="62"/>
      <c r="I77" s="62"/>
    </row>
    <row r="78" spans="1:9" x14ac:dyDescent="0.25">
      <c r="A78" s="62"/>
      <c r="B78" s="62"/>
      <c r="C78" s="62"/>
      <c r="D78" s="62"/>
      <c r="E78" s="62"/>
      <c r="F78" s="62"/>
      <c r="G78" s="62"/>
      <c r="H78" s="62"/>
      <c r="I78" s="62"/>
    </row>
    <row r="79" spans="1:9" x14ac:dyDescent="0.25">
      <c r="A79" s="62"/>
      <c r="B79" s="62"/>
      <c r="C79" s="62"/>
      <c r="D79" s="62"/>
      <c r="E79" s="62"/>
      <c r="F79" s="62"/>
      <c r="G79" s="62"/>
      <c r="H79" s="62"/>
      <c r="I79" s="62"/>
    </row>
    <row r="80" spans="1:9" x14ac:dyDescent="0.25">
      <c r="A80" s="62"/>
      <c r="B80" s="62"/>
      <c r="C80" s="62"/>
      <c r="D80" s="62"/>
      <c r="E80" s="62"/>
      <c r="F80" s="62"/>
      <c r="G80" s="62"/>
      <c r="H80" s="62"/>
      <c r="I80" s="62"/>
    </row>
    <row r="81" spans="1:9" x14ac:dyDescent="0.25">
      <c r="A81" s="62"/>
      <c r="B81" s="62"/>
      <c r="C81" s="62"/>
      <c r="D81" s="62"/>
      <c r="E81" s="62"/>
      <c r="F81" s="62"/>
      <c r="G81" s="62"/>
      <c r="H81" s="62"/>
      <c r="I81" s="62"/>
    </row>
    <row r="82" spans="1:9" x14ac:dyDescent="0.25">
      <c r="A82" s="62"/>
      <c r="B82" s="62"/>
      <c r="C82" s="62"/>
      <c r="D82" s="62"/>
      <c r="E82" s="62"/>
      <c r="F82" s="62"/>
      <c r="G82" s="62"/>
      <c r="H82" s="62"/>
      <c r="I82" s="62"/>
    </row>
    <row r="83" spans="1:9" x14ac:dyDescent="0.25">
      <c r="A83" s="62"/>
      <c r="B83" s="62"/>
      <c r="C83" s="62"/>
      <c r="D83" s="62"/>
      <c r="E83" s="62"/>
      <c r="F83" s="62"/>
      <c r="G83" s="62"/>
      <c r="H83" s="62"/>
      <c r="I83" s="62"/>
    </row>
    <row r="84" spans="1:9" x14ac:dyDescent="0.25">
      <c r="A84" s="62"/>
      <c r="B84" s="62"/>
      <c r="C84" s="62"/>
      <c r="D84" s="62"/>
      <c r="E84" s="62"/>
      <c r="F84" s="62"/>
      <c r="G84" s="62"/>
      <c r="H84" s="62"/>
      <c r="I84" s="62"/>
    </row>
    <row r="85" spans="1:9" x14ac:dyDescent="0.25">
      <c r="A85" s="62"/>
      <c r="B85" s="62"/>
      <c r="C85" s="62"/>
      <c r="D85" s="62"/>
      <c r="E85" s="62"/>
      <c r="F85" s="62"/>
      <c r="G85" s="62"/>
      <c r="H85" s="62"/>
      <c r="I85" s="62"/>
    </row>
    <row r="86" spans="1:9" x14ac:dyDescent="0.25">
      <c r="A86" s="62"/>
      <c r="B86" s="62"/>
      <c r="C86" s="62"/>
      <c r="D86" s="62"/>
      <c r="E86" s="62"/>
      <c r="F86" s="62"/>
      <c r="G86" s="62"/>
      <c r="H86" s="62"/>
      <c r="I86" s="62"/>
    </row>
    <row r="87" spans="1:9" x14ac:dyDescent="0.25">
      <c r="A87" s="62"/>
      <c r="B87" s="62"/>
      <c r="C87" s="62"/>
      <c r="D87" s="62"/>
      <c r="E87" s="62"/>
      <c r="F87" s="62"/>
      <c r="G87" s="62"/>
      <c r="H87" s="62"/>
      <c r="I87" s="62"/>
    </row>
    <row r="88" spans="1:9" x14ac:dyDescent="0.25">
      <c r="A88" s="62"/>
      <c r="B88" s="62"/>
      <c r="C88" s="62"/>
      <c r="D88" s="62"/>
      <c r="E88" s="62"/>
      <c r="F88" s="62"/>
      <c r="G88" s="62"/>
      <c r="H88" s="62"/>
      <c r="I88" s="62"/>
    </row>
    <row r="89" spans="1:9" x14ac:dyDescent="0.25">
      <c r="A89" s="62"/>
      <c r="B89" s="62"/>
      <c r="C89" s="62"/>
      <c r="D89" s="62"/>
      <c r="E89" s="62"/>
      <c r="F89" s="62"/>
      <c r="G89" s="62"/>
      <c r="H89" s="62"/>
      <c r="I89" s="62"/>
    </row>
    <row r="90" spans="1:9" x14ac:dyDescent="0.25">
      <c r="A90" s="62"/>
      <c r="B90" s="62"/>
      <c r="C90" s="62"/>
      <c r="D90" s="62"/>
      <c r="E90" s="62"/>
      <c r="F90" s="62"/>
      <c r="G90" s="62"/>
      <c r="H90" s="62"/>
      <c r="I90" s="62"/>
    </row>
    <row r="91" spans="1:9" x14ac:dyDescent="0.25">
      <c r="A91" s="62"/>
      <c r="B91" s="62"/>
      <c r="C91" s="62"/>
      <c r="D91" s="62"/>
      <c r="E91" s="62"/>
      <c r="F91" s="62"/>
      <c r="G91" s="62"/>
      <c r="H91" s="62"/>
      <c r="I91" s="62"/>
    </row>
    <row r="92" spans="1:9" x14ac:dyDescent="0.25">
      <c r="A92" s="62"/>
      <c r="B92" s="62"/>
      <c r="C92" s="62"/>
      <c r="D92" s="62"/>
      <c r="E92" s="62"/>
      <c r="F92" s="62"/>
      <c r="G92" s="62"/>
      <c r="H92" s="62"/>
      <c r="I92" s="62"/>
    </row>
    <row r="93" spans="1:9" x14ac:dyDescent="0.25">
      <c r="A93" s="62"/>
      <c r="B93" s="62"/>
      <c r="C93" s="62"/>
      <c r="D93" s="62"/>
      <c r="E93" s="62"/>
      <c r="F93" s="62"/>
      <c r="G93" s="62"/>
      <c r="H93" s="62"/>
      <c r="I93" s="62"/>
    </row>
    <row r="94" spans="1:9" x14ac:dyDescent="0.25">
      <c r="A94" s="62"/>
      <c r="B94" s="62"/>
      <c r="C94" s="62"/>
      <c r="D94" s="62"/>
      <c r="E94" s="62"/>
      <c r="F94" s="62"/>
      <c r="G94" s="62"/>
      <c r="H94" s="62"/>
      <c r="I94" s="62"/>
    </row>
    <row r="95" spans="1:9" x14ac:dyDescent="0.25">
      <c r="A95" s="62"/>
      <c r="B95" s="62"/>
      <c r="C95" s="62"/>
      <c r="D95" s="62"/>
      <c r="E95" s="62"/>
      <c r="F95" s="62"/>
      <c r="G95" s="62"/>
      <c r="H95" s="62"/>
      <c r="I95" s="62"/>
    </row>
    <row r="96" spans="1:9" x14ac:dyDescent="0.25">
      <c r="A96" s="62"/>
      <c r="B96" s="62"/>
      <c r="C96" s="62"/>
      <c r="D96" s="62"/>
      <c r="E96" s="62"/>
      <c r="F96" s="62"/>
      <c r="G96" s="62"/>
      <c r="H96" s="62"/>
      <c r="I96" s="62"/>
    </row>
    <row r="97" spans="1:9" x14ac:dyDescent="0.25">
      <c r="A97" s="62"/>
      <c r="B97" s="62"/>
      <c r="C97" s="62"/>
      <c r="D97" s="62"/>
      <c r="E97" s="62"/>
      <c r="F97" s="62"/>
      <c r="G97" s="62"/>
      <c r="H97" s="62"/>
      <c r="I97" s="62"/>
    </row>
    <row r="98" spans="1:9" x14ac:dyDescent="0.25">
      <c r="A98" s="62"/>
      <c r="B98" s="62"/>
      <c r="C98" s="62"/>
      <c r="D98" s="62"/>
      <c r="E98" s="62"/>
      <c r="F98" s="62"/>
      <c r="G98" s="62"/>
      <c r="H98" s="62"/>
      <c r="I98" s="62"/>
    </row>
    <row r="99" spans="1:9" x14ac:dyDescent="0.25">
      <c r="A99" s="62"/>
      <c r="B99" s="62"/>
      <c r="C99" s="62"/>
      <c r="D99" s="62"/>
      <c r="E99" s="62"/>
      <c r="F99" s="62"/>
      <c r="G99" s="62"/>
      <c r="H99" s="62"/>
      <c r="I99" s="62"/>
    </row>
    <row r="100" spans="1:9" x14ac:dyDescent="0.25">
      <c r="A100" s="62"/>
      <c r="B100" s="62"/>
      <c r="C100" s="62"/>
      <c r="D100" s="62"/>
      <c r="E100" s="62"/>
      <c r="F100" s="62"/>
      <c r="G100" s="62"/>
      <c r="H100" s="62"/>
      <c r="I100" s="62"/>
    </row>
  </sheetData>
  <sheetProtection algorithmName="SHA-512" hashValue="/7P+tBtxLpRgnwRGIQYPYmdGMyzUU9iRRcxgGB4iTSu+bf+8JLT7drBzmq7hfmtIahztg7ORKbhmVpwMcHo4pw==" saltValue="fjjQTEuKFHAH2YekONRpj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3" t="s">
        <v>76</v>
      </c>
      <c r="C3" s="113"/>
      <c r="D3" s="113"/>
      <c r="E3" s="113"/>
      <c r="F3" s="113"/>
      <c r="G3" s="113"/>
      <c r="H3" s="1"/>
    </row>
    <row r="4" spans="1:8" ht="15" customHeight="1" x14ac:dyDescent="0.25">
      <c r="A4" s="1"/>
      <c r="B4" s="113"/>
      <c r="C4" s="113"/>
      <c r="D4" s="113"/>
      <c r="E4" s="113"/>
      <c r="F4" s="113"/>
      <c r="G4" s="11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0" t="s">
        <v>10</v>
      </c>
      <c r="C8" s="121"/>
      <c r="D8" s="121"/>
      <c r="E8" s="121"/>
      <c r="F8" s="121"/>
      <c r="G8" s="122"/>
      <c r="H8" s="1"/>
    </row>
    <row r="9" spans="1:8" x14ac:dyDescent="0.25">
      <c r="A9" s="1"/>
      <c r="B9" s="123" t="s">
        <v>270</v>
      </c>
      <c r="C9" s="124"/>
      <c r="D9" s="124"/>
      <c r="E9" s="124"/>
      <c r="F9" s="125"/>
      <c r="G9" s="22">
        <v>1.2112477255451119E-2</v>
      </c>
      <c r="H9" s="1"/>
    </row>
    <row r="10" spans="1:8" x14ac:dyDescent="0.25">
      <c r="A10" s="1"/>
      <c r="B10" s="33"/>
      <c r="C10" s="28"/>
      <c r="D10" s="28"/>
      <c r="E10" s="28"/>
      <c r="F10" s="28"/>
      <c r="G10" s="19"/>
      <c r="H10" s="1"/>
    </row>
    <row r="11" spans="1:8" ht="33" customHeight="1" x14ac:dyDescent="0.25">
      <c r="A11" s="1"/>
      <c r="B11" s="134" t="s">
        <v>264</v>
      </c>
      <c r="C11" s="134"/>
      <c r="D11" s="134"/>
      <c r="E11" s="134"/>
      <c r="F11" s="134"/>
      <c r="G11" s="13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DM1XxFpl8FACRcQ4u1arOkDk2yNF0Yt3V/haU8pl6cTfrc5wdqUDb6ileUHRHITfkO+4AkrD2JTHchcYpG00rQ==" saltValue="JuDVh1do6grDdKAya/E0K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2024-02-12T11:40:48Z</dcterms:modified>
</cp:coreProperties>
</file>