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Novafos Spildevand Furesø AS (S027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Korrektion af ØR2019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externalReferences>
    <externalReference r:id="rId20"/>
  </externalReferences>
  <definedNames>
    <definedName name="GenKravAnlæg19">[1]Nøgletal!$C$13</definedName>
    <definedName name="GenKravDrift19">[1]Nøgletal!$B$13</definedName>
    <definedName name="GenKravSamlet19">[1]Nøgletal!$D$13</definedName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G20" i="11" l="1"/>
  <c r="E20" i="11"/>
  <c r="E11" i="11"/>
  <c r="E12" i="11"/>
  <c r="E13" i="11"/>
  <c r="E14" i="11"/>
  <c r="E15" i="11"/>
  <c r="E16" i="11"/>
  <c r="E17" i="11"/>
  <c r="E16" i="40" l="1"/>
  <c r="E12" i="40"/>
  <c r="C14" i="19" l="1"/>
  <c r="E18" i="27" l="1"/>
  <c r="G26" i="30" l="1"/>
  <c r="E29" i="32" l="1"/>
  <c r="E33" i="32" s="1"/>
  <c r="G33" i="36" l="1"/>
  <c r="G25" i="36" l="1"/>
  <c r="G32" i="36" s="1"/>
  <c r="G34" i="30" l="1"/>
  <c r="G33" i="30"/>
  <c r="E10" i="20" l="1"/>
  <c r="E19" i="27" l="1"/>
  <c r="C13" i="2"/>
  <c r="C12" i="2"/>
  <c r="C11" i="2"/>
  <c r="C10" i="2"/>
  <c r="E18" i="11" l="1"/>
  <c r="E19" i="11"/>
  <c r="E10" i="11"/>
  <c r="G7" i="30" l="1"/>
  <c r="E29" i="20" l="1"/>
  <c r="E23" i="20"/>
  <c r="E17" i="20"/>
  <c r="E11" i="20"/>
  <c r="E12" i="20" s="1"/>
  <c r="E21" i="32" l="1"/>
  <c r="E12" i="32"/>
  <c r="E17" i="40" l="1"/>
  <c r="C34" i="2" s="1"/>
  <c r="E28" i="20"/>
  <c r="E16" i="20"/>
  <c r="E18" i="20" s="1"/>
  <c r="E22" i="20"/>
  <c r="E24" i="20" s="1"/>
  <c r="C19" i="22" s="1"/>
  <c r="C20" i="15" l="1"/>
  <c r="C28" i="2"/>
  <c r="E30" i="20"/>
  <c r="C19" i="23" s="1"/>
  <c r="E29" i="21" l="1"/>
  <c r="E30" i="21" s="1"/>
  <c r="G53" i="36" s="1"/>
  <c r="C29" i="21"/>
  <c r="C30" i="21" s="1"/>
  <c r="G54" i="30" s="1"/>
  <c r="E23" i="21"/>
  <c r="E24" i="21" s="1"/>
  <c r="G46" i="36" s="1"/>
  <c r="C23" i="21"/>
  <c r="C24" i="21" s="1"/>
  <c r="E17" i="21"/>
  <c r="E18" i="21" s="1"/>
  <c r="G40" i="36" s="1"/>
  <c r="C17" i="21"/>
  <c r="C18" i="21" s="1"/>
  <c r="G41" i="30" s="1"/>
  <c r="C9" i="22" l="1"/>
  <c r="G47" i="30"/>
  <c r="C10" i="23"/>
  <c r="C10" i="22"/>
  <c r="C10" i="15"/>
  <c r="C9" i="23"/>
  <c r="C11" i="15"/>
  <c r="E35" i="39"/>
  <c r="C35" i="39"/>
  <c r="E27" i="39"/>
  <c r="C27" i="39"/>
  <c r="E19" i="39"/>
  <c r="C19" i="39"/>
  <c r="E11" i="39"/>
  <c r="C11" i="39"/>
  <c r="E13" i="39" l="1"/>
  <c r="E12" i="39"/>
  <c r="C21" i="39"/>
  <c r="C20" i="39"/>
  <c r="C22" i="39" s="1"/>
  <c r="C22" i="15" s="1"/>
  <c r="C37" i="39"/>
  <c r="C36" i="39"/>
  <c r="C38" i="39" s="1"/>
  <c r="C21" i="23" s="1"/>
  <c r="E21" i="39"/>
  <c r="E20" i="39"/>
  <c r="E37" i="39"/>
  <c r="E36" i="39"/>
  <c r="C13" i="39"/>
  <c r="C12" i="39"/>
  <c r="C29" i="39"/>
  <c r="C28" i="39"/>
  <c r="C30" i="39" s="1"/>
  <c r="C21" i="22" s="1"/>
  <c r="E29" i="39"/>
  <c r="E28" i="39"/>
  <c r="E22" i="39" l="1"/>
  <c r="C23" i="15" s="1"/>
  <c r="E30" i="39"/>
  <c r="C22" i="22" s="1"/>
  <c r="C23" i="22" s="1"/>
  <c r="E38" i="39"/>
  <c r="C22" i="23" s="1"/>
  <c r="C23" i="23" s="1"/>
  <c r="E14" i="39"/>
  <c r="C31" i="2" s="1"/>
  <c r="C14" i="39"/>
  <c r="C30" i="2" s="1"/>
  <c r="C24" i="15" l="1"/>
  <c r="C32" i="2"/>
  <c r="G7" i="36" l="1"/>
  <c r="G11" i="36" l="1"/>
  <c r="G14" i="36" l="1"/>
  <c r="G18" i="36" s="1"/>
  <c r="G24" i="36" s="1"/>
  <c r="G11" i="30"/>
  <c r="G31" i="36" l="1"/>
  <c r="G27" i="36"/>
  <c r="E21" i="27" s="1"/>
  <c r="G15" i="30"/>
  <c r="G19" i="30" s="1"/>
  <c r="G25" i="30" s="1"/>
  <c r="G32" i="30" s="1"/>
  <c r="G20" i="36"/>
  <c r="G21" i="30" l="1"/>
  <c r="E35" i="32" l="1"/>
  <c r="C25" i="22" l="1"/>
  <c r="C26" i="15"/>
  <c r="F20" i="11"/>
  <c r="C10" i="37" s="1"/>
  <c r="C13" i="37" s="1"/>
  <c r="C14" i="37" s="1"/>
  <c r="C14" i="2" s="1"/>
  <c r="E11" i="21" l="1"/>
  <c r="C11" i="21"/>
  <c r="E11" i="29"/>
  <c r="C11" i="29"/>
  <c r="C15" i="19"/>
  <c r="C17" i="23" s="1"/>
  <c r="E12" i="29" l="1"/>
  <c r="C19" i="2" s="1"/>
  <c r="C12" i="29"/>
  <c r="C18" i="2" s="1"/>
  <c r="C12" i="21"/>
  <c r="C16" i="2" s="1"/>
  <c r="E12" i="21"/>
  <c r="C17" i="2" s="1"/>
  <c r="C17" i="22"/>
  <c r="C18" i="15"/>
  <c r="C26" i="2"/>
  <c r="G35" i="30" l="1"/>
  <c r="G36" i="30" s="1"/>
  <c r="G40" i="30" s="1"/>
  <c r="G28" i="30"/>
  <c r="E20" i="27" s="1"/>
  <c r="E22" i="27" s="1"/>
  <c r="E35" i="27" s="1"/>
  <c r="C9" i="2" l="1"/>
  <c r="C22" i="2"/>
  <c r="E10" i="37"/>
  <c r="E13" i="37" s="1"/>
  <c r="E14" i="37" s="1"/>
  <c r="C15" i="2" s="1"/>
  <c r="G34" i="36" l="1"/>
  <c r="G35" i="36" s="1"/>
  <c r="C20" i="2"/>
  <c r="C21" i="2" l="1"/>
  <c r="G39" i="36"/>
  <c r="G41" i="36" s="1"/>
  <c r="C23" i="2"/>
  <c r="G42" i="30"/>
  <c r="C24" i="2" l="1"/>
  <c r="G46" i="30"/>
  <c r="G48" i="30" s="1"/>
  <c r="C14" i="15"/>
  <c r="G45" i="36"/>
  <c r="C15" i="15"/>
  <c r="G47" i="36" l="1"/>
  <c r="G52" i="36" s="1"/>
  <c r="G54" i="36" s="1"/>
  <c r="C14" i="23" s="1"/>
  <c r="G53" i="30"/>
  <c r="G55" i="30" s="1"/>
  <c r="C13" i="23" s="1"/>
  <c r="C13" i="22"/>
  <c r="C35" i="2"/>
  <c r="C14" i="22" l="1"/>
  <c r="C9" i="15"/>
  <c r="C12" i="15" l="1"/>
  <c r="C13" i="15" l="1"/>
  <c r="C16" i="15" s="1"/>
  <c r="C27" i="15" s="1"/>
  <c r="C8" i="22" l="1"/>
  <c r="C11" i="22" s="1"/>
  <c r="C12" i="22" s="1"/>
  <c r="C15" i="22" s="1"/>
  <c r="C26" i="22" s="1"/>
  <c r="C8" i="23" l="1"/>
  <c r="C11" i="23" l="1"/>
  <c r="C12" i="23" s="1"/>
  <c r="C15" i="23" l="1"/>
  <c r="C24" i="23" s="1"/>
</calcChain>
</file>

<file path=xl/sharedStrings.xml><?xml version="1.0" encoding="utf-8"?>
<sst xmlns="http://schemas.openxmlformats.org/spreadsheetml/2006/main" count="730" uniqueCount="290">
  <si>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</si>
  <si>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</si>
  <si>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</si>
  <si>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</si>
  <si>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</si>
  <si>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</si>
  <si>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</si>
  <si>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</si>
  <si>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</si>
  <si>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</si>
  <si>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</si>
  <si>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</si>
  <si>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</si>
  <si>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</si>
  <si>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</si>
  <si>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</si>
  <si>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</si>
  <si>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</si>
  <si>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</si>
  <si>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</si>
  <si>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</si>
  <si>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</si>
  <si>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</si>
  <si>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</si>
  <si>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</si>
  <si>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</si>
  <si>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</si>
  <si>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</si>
  <si>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</si>
  <si>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</si>
  <si>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</si>
  <si>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</si>
  <si>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</si>
  <si>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</si>
  <si>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</si>
  <si>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</si>
  <si>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</si>
  <si>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</si>
  <si>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</si>
  <si>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</si>
  <si>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</si>
  <si>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Samlet økonomisk ramme for 2021</t>
  </si>
  <si>
    <t>Anlægsprojekter</t>
  </si>
  <si>
    <t>Bortfald</t>
  </si>
  <si>
    <t>Fane 13</t>
  </si>
  <si>
    <t>Fane 14</t>
  </si>
  <si>
    <t>Nye tillæg - Drift</t>
  </si>
  <si>
    <t>Nye tillæg - Anlæg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</si>
  <si>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</si>
  <si>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</si>
  <si>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</si>
  <si>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</si>
  <si>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</si>
  <si>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</si>
  <si>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</si>
  <si>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</si>
  <si>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</si>
  <si>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</si>
  <si>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</si>
  <si>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</si>
  <si>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</si>
  <si>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</si>
  <si>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</si>
  <si>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</si>
  <si>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</si>
  <si>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</si>
  <si>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</si>
  <si>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</si>
  <si>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</si>
  <si>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</si>
  <si>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</si>
  <si>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</si>
  <si>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</si>
  <si>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</si>
  <si>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</si>
  <si>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</si>
  <si>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</si>
  <si>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</si>
  <si>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</si>
  <si>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</si>
  <si>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</si>
  <si>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</si>
  <si>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</si>
  <si>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</si>
  <si>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</si>
  <si>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</si>
  <si>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</si>
  <si>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</si>
  <si>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</si>
  <si>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</si>
  <si>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</si>
  <si>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</si>
  <si>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</si>
  <si>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</si>
  <si>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</si>
  <si>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</si>
  <si>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</si>
  <si>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</si>
  <si>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</si>
  <si>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</si>
  <si>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</si>
  <si>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</si>
  <si>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</si>
  <si>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</si>
  <si>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</si>
  <si>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</si>
  <si>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</si>
  <si>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</si>
  <si>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</si>
  <si>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</si>
  <si>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</si>
  <si>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</si>
  <si>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</si>
  <si>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</si>
  <si>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</si>
  <si>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</si>
  <si>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</si>
  <si>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</si>
  <si>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</si>
  <si>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</si>
  <si>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</si>
  <si>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</si>
  <si>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i alt i 2018-prisniveau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</si>
  <si>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</si>
  <si>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</si>
  <si>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</si>
  <si>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</si>
  <si>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</si>
  <si>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</si>
  <si>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</si>
  <si>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</si>
  <si>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</si>
  <si>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Kontrol med overholdelse af indtægtsrammer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</si>
  <si>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</si>
  <si>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</si>
  <si>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</si>
  <si>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</si>
  <si>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</si>
  <si>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</si>
  <si>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</si>
  <si>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</si>
  <si>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Tillæg til tilbagebetaling af vejbidrag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</si>
  <si>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</si>
  <si>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</si>
  <si>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</si>
  <si>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</si>
  <si>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</si>
  <si>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</si>
  <si>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Individuelt effektiviseringskrav til de økonomiske rammer for 2018-2021</t>
  </si>
  <si>
    <t>Generelt effektiviseringskrav til driftsomkostningerne</t>
  </si>
  <si>
    <t>Generelt effektiviseringskrav til anlægsomkostningerne</t>
  </si>
  <si>
    <t>Nøgletal</t>
  </si>
  <si>
    <t xml:space="preserve">Note: Beregningerne af jeres individuelle effektiviseringskrav er taget fra jeres afgørelse til den økonomiske ramme for henholdsvis 2017 og 2018-2021. I kan derfor ikke komme med høringssvar til denne opgørelse. </t>
  </si>
  <si>
    <t xml:space="preserve"> - Heraf nye omkostninger i ØR20 - Drift</t>
  </si>
  <si>
    <t xml:space="preserve"> - Heraf nye omkostninger i ØR20 - Anlæg</t>
  </si>
  <si>
    <t>Videreførte omkostninger fra den økonomiske ramme for 2022</t>
  </si>
  <si>
    <t>Fane 4.1</t>
  </si>
  <si>
    <t>Fane 4.2</t>
  </si>
  <si>
    <t>Fane 6</t>
  </si>
  <si>
    <t>Fane 10.1</t>
  </si>
  <si>
    <t>Fane 10.2</t>
  </si>
  <si>
    <t>Fane 11</t>
  </si>
  <si>
    <t>Fane 13: Bortfald eller nedsættelse af omkostninger til mål, medfinansiering eller udvidelse</t>
  </si>
  <si>
    <t>Fane 10.2: Engangstillæg</t>
  </si>
  <si>
    <t>Fane 10.1: Varige tillæg</t>
  </si>
  <si>
    <t>Fane 6: Ikke-påvirkelige omkostninger</t>
  </si>
  <si>
    <t>Fane 4.2: Generelt effektiviseringskrav til anlægsomkostningerne</t>
  </si>
  <si>
    <t>Fane 4.1: Generelt effektiviseringskrav til driftsomkostningerne</t>
  </si>
  <si>
    <t>Prisudvikling til brug for ØR2017</t>
  </si>
  <si>
    <t>Prisudvikling til brug for ØR2018-2021</t>
  </si>
  <si>
    <t>Generelt effektiviseringskrav til brug for anlægsomkostninger i ØR2017</t>
  </si>
  <si>
    <t>Generelt effektiviseringskrav til brug for nye anlægsomkostninger i ØR2019</t>
  </si>
  <si>
    <t>Generelt effektiviseringskrav til brug for anlægsomkostninger i ØR2018-2021</t>
  </si>
  <si>
    <t>Generelt effektiviseringskrav til brug for nye anlægsomkostninger i ØR2020</t>
  </si>
  <si>
    <t>Generelt effektiviseringskrav til brug for driftsomkostninger</t>
  </si>
  <si>
    <t>Fane 11: Periodevise driftsomkostninger givet under prisloftsbekendtgørelsen</t>
  </si>
  <si>
    <t>Tillæg til medfinansieringsprojekter godkendt under prisloftsbekendtgørelsen</t>
  </si>
  <si>
    <t>-Heraf nye anlægsomkostninger til de økonomiske rammer for 2019</t>
  </si>
  <si>
    <t>- Heraf nye anlægsomkostninger til de økonomiske rammer for 2019</t>
  </si>
  <si>
    <t>- Heraf nye anlægsomkostninger til de økonomiske rammer for 2020</t>
  </si>
  <si>
    <t>- Heraf nye driftsomkostninger til de økonomiske rammer for 2019</t>
  </si>
  <si>
    <t>- Heraf nye driftsomkostninger til de økonomiske rammer for 2020</t>
  </si>
  <si>
    <t>Periodevise driftsomkostninger i den økonomiske ramme for 2018</t>
  </si>
  <si>
    <t>Periodevise driftsomkostninger i den økonomiske ramme for 2017</t>
  </si>
  <si>
    <t>Fane 3</t>
  </si>
  <si>
    <t>Korrektion af driftsomkostninger i grundlaget</t>
  </si>
  <si>
    <t>Korrektion af anlægsomkostninger i grundlaget</t>
  </si>
  <si>
    <t>Tilknyttet virksomhed</t>
  </si>
  <si>
    <t>Vejledende økonomisk ramme for 2024</t>
  </si>
  <si>
    <t>Omkostninger i ØR2020</t>
  </si>
  <si>
    <t>Kontrol af den økonomiske ramme for 2019</t>
  </si>
  <si>
    <t>Korrektion af den økonomiske ramme for 2019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</si>
  <si>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</si>
  <si>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</si>
  <si>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</si>
  <si>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</si>
  <si>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>Fane 2.3: Samlet økonomisk ramme for 2023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</si>
  <si>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</si>
  <si>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</si>
  <si>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</si>
  <si>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</si>
  <si>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</si>
  <si>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statusmeddelelse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</si>
  <si>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</si>
  <si>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</si>
  <si>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</si>
  <si>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</si>
  <si>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Tillæg til den økonomiske ramme for 2024</t>
  </si>
  <si>
    <t>Fane 7: Kontrol med overholdelse af den økonomiske ramme for 2019</t>
  </si>
  <si>
    <t>Fane 8: Korrektioner af den økonomiske ramme for 2019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</si>
  <si>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</si>
  <si>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</si>
  <si>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</si>
  <si>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</si>
  <si>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</si>
  <si>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Nye tillæg i alt i 2020-prisniveau</t>
  </si>
  <si>
    <t>Engangstillæg i alt i 2019-prisniveau</t>
  </si>
  <si>
    <t>Engangstillæg i alt i 2022-prisniveau</t>
  </si>
  <si>
    <t>Engangstillæg til de økonomiske rammer for 2024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</si>
  <si>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</si>
  <si>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</si>
  <si>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</si>
  <si>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</si>
  <si>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</si>
  <si>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</si>
  <si>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</si>
  <si>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</si>
  <si>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</si>
  <si>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</si>
  <si>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</si>
  <si>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Generelt effektiviseringskrav til brug for nye anlægsomkostninger i ØR2021</t>
  </si>
  <si>
    <t xml:space="preserve"> - Heraf nye omkostninger i ØR19 - Drift</t>
  </si>
  <si>
    <t xml:space="preserve"> - Heraf nye omkostninger i ØR19 - Anlæg</t>
  </si>
  <si>
    <t>- Heraf nye omkostninger i ØR19 - Drift</t>
  </si>
  <si>
    <t>- Heraf nye omkostninger i ØR19 - Anlæg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</si>
  <si>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</si>
  <si>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</si>
  <si>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</si>
  <si>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</si>
  <si>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</si>
  <si>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</si>
  <si>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</si>
  <si>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</si>
  <si>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</si>
  <si>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</si>
  <si>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</si>
  <si>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</si>
  <si>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</si>
  <si>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</si>
  <si>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</si>
  <si>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Kontrol med overholdelse af den økonomiske ramme for 2017</t>
  </si>
  <si>
    <t>Indtægtsramme i den økonomiske ramme for 2017</t>
  </si>
  <si>
    <t>Faktiske indtægter i 2017</t>
  </si>
  <si>
    <t xml:space="preserve">Note: Denne opgørelse er taget fra jeres statusmeddelelse for den økonomiske ramme for 2019.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</si>
  <si>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</si>
  <si>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</si>
  <si>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</si>
  <si>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Difference (2017-prisniveau)</t>
  </si>
  <si>
    <t>Difference (2019-prisniveau)</t>
  </si>
  <si>
    <t>Til indregning i de økonomiske rammer for 2022-2023</t>
  </si>
  <si>
    <t>Kontrol med overholdelse af økonomiske rammer</t>
  </si>
  <si>
    <t>Kontrol med overholdelse af økonomiske ramme</t>
  </si>
  <si>
    <t>Kontrol med de økonomiske rammer til indregning</t>
  </si>
  <si>
    <t>Til statusmeddelelse for 2021</t>
  </si>
  <si>
    <t>Vejledende økonomisk ramme for 2022</t>
  </si>
  <si>
    <t>Fane 14: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</si>
  <si>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</si>
  <si>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</si>
  <si>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</si>
  <si>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</si>
  <si>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Spildevandsafgift</t>
  </si>
  <si>
    <t>Afgift til Forsyningssekretariatet</t>
  </si>
  <si>
    <t>Køb af ydelser og produkter fra andre vandselskaber reguleret af vandsektorloven</t>
  </si>
  <si>
    <t>Ejendomsskatter</t>
  </si>
  <si>
    <t>Ingen tilknyttet virksomhed</t>
  </si>
  <si>
    <t>Ingen bortfald eller nedsættelse</t>
  </si>
  <si>
    <t>Nye tilslutninger</t>
  </si>
  <si>
    <t>Oprensning af bassin</t>
  </si>
  <si>
    <t>Ingen engangstillæg</t>
  </si>
  <si>
    <t>Indløb med riste, Mek/EL</t>
  </si>
  <si>
    <t>20</t>
  </si>
  <si>
    <t>Indløb med riste, SRO</t>
  </si>
  <si>
    <t>10</t>
  </si>
  <si>
    <t>Ø 200 mm &lt; Ledningsnet ≤ Ø 500 mm</t>
  </si>
  <si>
    <t>75</t>
  </si>
  <si>
    <t>Brønde</t>
  </si>
  <si>
    <t>Ledningsnet ≤ Ø 200 mm</t>
  </si>
  <si>
    <t>Forsinkelsesbassiner, lukkede med automatisk rensning og SRO Miljøklasse A (5.000-10.000 m3) - Mek/EL</t>
  </si>
  <si>
    <t>Forsinkelsesbassiner, lukkede med automatisk rensning og SRO Miljøklasse A (5.000-10.000 m3) - SRO</t>
  </si>
  <si>
    <t>Stik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</si>
</sst>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2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7" fillId="2" borderId="0" xfId="0" applyFont="1" applyFill="1" applyBorder="1" applyAlignment="1" applyProtection="1"/>
    <xf numFmtId="0" fontId="0" fillId="0" borderId="0" xfId="0" applyFill="1" applyProtection="1"/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2" xfId="0" quotePrefix="1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1" fontId="8" fillId="0" borderId="1" xfId="0" applyNumberFormat="1" applyFont="1" applyFill="1" applyBorder="1" applyAlignment="1" applyProtection="1">
      <alignment horizontal="right"/>
    </xf>
    <xf numFmtId="49" fontId="8" fillId="8" borderId="2" xfId="0" applyNumberFormat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B6DDF3"/>
      <color rgb="FF212121"/>
      <color rgb="FFF2DCDB"/>
      <color rgb="FF650816"/>
      <color rgb="FF4C4C4C"/>
      <color rgb="FFBFBFBF"/>
      <color rgb="FFD9D9D9"/>
      <color rgb="FF35B099"/>
      <color rgb="FF9E0B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0/&#216;R-statusark/&#216;R-statusark-udkast_N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1.0168999999999999</v>
          </cell>
        </row>
        <row r="13">
          <cell r="B13">
            <v>0.02</v>
          </cell>
          <cell r="C13">
            <v>8.6999999999999994E-3</v>
          </cell>
          <cell r="D13">
            <v>1.7000000000000001E-2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63" t="s">
        <v>4</v>
      </c>
      <c r="E6" s="63"/>
      <c r="F6" s="63"/>
      <c r="G6" s="63"/>
      <c r="H6" s="3"/>
      <c r="I6" s="1"/>
    </row>
    <row r="7" spans="1:9" ht="15" customHeight="1" x14ac:dyDescent="0.45">
      <c r="A7" s="1"/>
      <c r="B7" s="1"/>
      <c r="C7" s="3"/>
      <c r="D7" s="63"/>
      <c r="E7" s="63"/>
      <c r="F7" s="63"/>
      <c r="G7" s="63"/>
      <c r="H7" s="3"/>
      <c r="I7" s="1"/>
    </row>
    <row r="8" spans="1:9" ht="15.75" x14ac:dyDescent="0.5">
      <c r="A8" s="1"/>
      <c r="B8" s="1"/>
      <c r="C8" s="4"/>
      <c r="D8" s="65" t="s">
        <v>263</v>
      </c>
      <c r="E8" s="65"/>
      <c r="F8" s="65"/>
      <c r="G8" s="65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4" t="s">
        <v>5</v>
      </c>
      <c r="E11" s="64"/>
      <c r="F11" s="64"/>
      <c r="G11" s="64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66" t="s">
        <v>41</v>
      </c>
      <c r="E13" s="67"/>
      <c r="F13" s="67"/>
      <c r="G13" s="68"/>
      <c r="H13" s="1"/>
      <c r="I13" s="1"/>
    </row>
    <row r="14" spans="1:9" x14ac:dyDescent="0.45">
      <c r="A14" s="1"/>
      <c r="B14" s="1"/>
      <c r="C14" s="6" t="s">
        <v>17</v>
      </c>
      <c r="D14" s="66" t="s">
        <v>264</v>
      </c>
      <c r="E14" s="67"/>
      <c r="F14" s="67"/>
      <c r="G14" s="68"/>
      <c r="H14" s="1"/>
      <c r="I14" s="1"/>
    </row>
    <row r="15" spans="1:9" x14ac:dyDescent="0.45">
      <c r="A15" s="1"/>
      <c r="B15" s="1"/>
      <c r="C15" s="6" t="s">
        <v>39</v>
      </c>
      <c r="D15" s="66" t="s">
        <v>104</v>
      </c>
      <c r="E15" s="67"/>
      <c r="F15" s="67"/>
      <c r="G15" s="68"/>
      <c r="H15" s="1"/>
      <c r="I15" s="1"/>
    </row>
    <row r="16" spans="1:9" x14ac:dyDescent="0.45">
      <c r="A16" s="1"/>
      <c r="B16" s="1"/>
      <c r="C16" s="6" t="s">
        <v>40</v>
      </c>
      <c r="D16" s="66" t="s">
        <v>188</v>
      </c>
      <c r="E16" s="67"/>
      <c r="F16" s="67"/>
      <c r="G16" s="68"/>
      <c r="H16" s="1"/>
      <c r="I16" s="1"/>
    </row>
    <row r="17" spans="1:9" x14ac:dyDescent="0.45">
      <c r="A17" s="1"/>
      <c r="B17" s="1"/>
      <c r="C17" s="6" t="s">
        <v>184</v>
      </c>
      <c r="D17" s="66" t="s">
        <v>189</v>
      </c>
      <c r="E17" s="67"/>
      <c r="F17" s="67"/>
      <c r="G17" s="68"/>
      <c r="H17" s="1"/>
      <c r="I17" s="1"/>
    </row>
    <row r="18" spans="1:9" x14ac:dyDescent="0.45">
      <c r="A18" s="1"/>
      <c r="B18" s="1"/>
      <c r="C18" s="6" t="s">
        <v>156</v>
      </c>
      <c r="D18" s="69" t="s">
        <v>134</v>
      </c>
      <c r="E18" s="70"/>
      <c r="F18" s="70"/>
      <c r="G18" s="71"/>
      <c r="H18" s="1"/>
      <c r="I18" s="1"/>
    </row>
    <row r="19" spans="1:9" x14ac:dyDescent="0.45">
      <c r="A19" s="1"/>
      <c r="B19" s="1"/>
      <c r="C19" s="6" t="s">
        <v>157</v>
      </c>
      <c r="D19" s="69" t="s">
        <v>135</v>
      </c>
      <c r="E19" s="70"/>
      <c r="F19" s="70"/>
      <c r="G19" s="71"/>
      <c r="H19" s="1"/>
      <c r="I19" s="1"/>
    </row>
    <row r="20" spans="1:9" x14ac:dyDescent="0.45">
      <c r="A20" s="1"/>
      <c r="B20" s="1"/>
      <c r="C20" s="6" t="s">
        <v>7</v>
      </c>
      <c r="D20" s="69" t="s">
        <v>10</v>
      </c>
      <c r="E20" s="70"/>
      <c r="F20" s="70"/>
      <c r="G20" s="71"/>
      <c r="H20" s="1"/>
      <c r="I20" s="1"/>
    </row>
    <row r="21" spans="1:9" x14ac:dyDescent="0.45">
      <c r="A21" s="1"/>
      <c r="B21" s="1"/>
      <c r="C21" s="6" t="s">
        <v>158</v>
      </c>
      <c r="D21" s="57" t="s">
        <v>13</v>
      </c>
      <c r="E21" s="58"/>
      <c r="F21" s="58"/>
      <c r="G21" s="59"/>
      <c r="H21" s="1"/>
      <c r="I21" s="1"/>
    </row>
    <row r="22" spans="1:9" x14ac:dyDescent="0.45">
      <c r="A22" s="1"/>
      <c r="B22" s="1"/>
      <c r="C22" s="6" t="s">
        <v>108</v>
      </c>
      <c r="D22" s="60" t="s">
        <v>190</v>
      </c>
      <c r="E22" s="61"/>
      <c r="F22" s="61"/>
      <c r="G22" s="62"/>
      <c r="H22" s="1"/>
      <c r="I22" s="1"/>
    </row>
    <row r="23" spans="1:9" x14ac:dyDescent="0.45">
      <c r="A23" s="1"/>
      <c r="B23" s="1"/>
      <c r="C23" s="6" t="s">
        <v>8</v>
      </c>
      <c r="D23" s="60" t="s">
        <v>191</v>
      </c>
      <c r="E23" s="61"/>
      <c r="F23" s="61"/>
      <c r="G23" s="62"/>
      <c r="H23" s="1"/>
      <c r="I23" s="1"/>
    </row>
    <row r="24" spans="1:9" x14ac:dyDescent="0.45">
      <c r="A24" s="1"/>
      <c r="B24" s="1"/>
      <c r="C24" s="6" t="s">
        <v>9</v>
      </c>
      <c r="D24" s="60" t="s">
        <v>42</v>
      </c>
      <c r="E24" s="61"/>
      <c r="F24" s="61"/>
      <c r="G24" s="62"/>
      <c r="H24" s="1"/>
      <c r="I24" s="1"/>
    </row>
    <row r="25" spans="1:9" x14ac:dyDescent="0.45">
      <c r="A25" s="1"/>
      <c r="B25" s="1"/>
      <c r="C25" s="6" t="s">
        <v>159</v>
      </c>
      <c r="D25" s="60" t="s">
        <v>109</v>
      </c>
      <c r="E25" s="61"/>
      <c r="F25" s="61"/>
      <c r="G25" s="62"/>
      <c r="H25" s="1"/>
      <c r="I25" s="1"/>
    </row>
    <row r="26" spans="1:9" x14ac:dyDescent="0.45">
      <c r="A26" s="1"/>
      <c r="B26" s="1"/>
      <c r="C26" s="6" t="s">
        <v>160</v>
      </c>
      <c r="D26" s="60" t="s">
        <v>110</v>
      </c>
      <c r="E26" s="61"/>
      <c r="F26" s="61"/>
      <c r="G26" s="62"/>
      <c r="H26" s="1"/>
      <c r="I26" s="1"/>
    </row>
    <row r="27" spans="1:9" x14ac:dyDescent="0.45">
      <c r="A27" s="1"/>
      <c r="B27" s="1"/>
      <c r="C27" s="6" t="s">
        <v>161</v>
      </c>
      <c r="D27" s="60" t="s">
        <v>111</v>
      </c>
      <c r="E27" s="61"/>
      <c r="F27" s="61"/>
      <c r="G27" s="62"/>
      <c r="H27" s="1"/>
      <c r="I27" s="1"/>
    </row>
    <row r="28" spans="1:9" x14ac:dyDescent="0.45">
      <c r="A28" s="1"/>
      <c r="B28" s="1"/>
      <c r="C28" s="6" t="s">
        <v>16</v>
      </c>
      <c r="D28" s="60" t="s">
        <v>187</v>
      </c>
      <c r="E28" s="61"/>
      <c r="F28" s="61"/>
      <c r="G28" s="62"/>
      <c r="H28" s="1"/>
      <c r="I28" s="1"/>
    </row>
    <row r="29" spans="1:9" x14ac:dyDescent="0.45">
      <c r="A29" s="1"/>
      <c r="B29" s="1"/>
      <c r="C29" s="6" t="s">
        <v>44</v>
      </c>
      <c r="D29" s="60" t="s">
        <v>43</v>
      </c>
      <c r="E29" s="61"/>
      <c r="F29" s="61"/>
      <c r="G29" s="62"/>
      <c r="H29" s="1"/>
      <c r="I29" s="1"/>
    </row>
    <row r="30" spans="1:9" x14ac:dyDescent="0.45">
      <c r="A30" s="1"/>
      <c r="B30" s="1"/>
      <c r="C30" s="6" t="s">
        <v>45</v>
      </c>
      <c r="D30" s="54" t="s">
        <v>151</v>
      </c>
      <c r="E30" s="55"/>
      <c r="F30" s="55"/>
      <c r="G30" s="56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aLGUpH/GN/rDOWw0Pz4hmQjzPJEg3FYsoql6aQWyvcbFLSQddps94xssBvcro8OP2s1YTjEIWwe/Zn7Z1vK4qg==" saltValue="5w38CSL92qEUTZSIVZ5PuQ==" spinCount="100000" sheet="1" objects="1" scenarios="1"/>
  <mergeCells count="21"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14:G14"/>
    <mergeCell ref="D30:G30"/>
    <mergeCell ref="D21:G21"/>
    <mergeCell ref="D24:G24"/>
    <mergeCell ref="D25:G25"/>
    <mergeCell ref="D28:G28"/>
    <mergeCell ref="D26:G26"/>
    <mergeCell ref="D27:G27"/>
    <mergeCell ref="D23:G23"/>
    <mergeCell ref="D29:G29"/>
  </mergeCells>
  <hyperlinks>
    <hyperlink ref="D14:G14" location="'Fane 2.2. Økonomisk ramme 2022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1:G21" location="'Fane 6. Ikke-påvirkelige omk.'!A1" display="Ikke-påvirkelige omkostninger"/>
    <hyperlink ref="D22:G22" location="'Fane 7. Kontrol af ØR2019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0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19'!A1" display="Korrektion af den økonomiske ramme for 2019"/>
    <hyperlink ref="D19:G19" location="'Fane 4.2. Gen. krav - anlæg'!A1" display="Generelt effektiviseringskrav på anlæg"/>
    <hyperlink ref="D20:G20" location="'Fane 5. Individuelt eff. krav'!A1" display="Individuelt effektiviseringskrav"/>
    <hyperlink ref="D18:G18" location="'Fane 4.1. Gen. krav - drift'!A1" display="Generelt effektiviseringskrav på drift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2" t="s">
        <v>165</v>
      </c>
      <c r="C3" s="72"/>
      <c r="D3" s="72"/>
      <c r="E3" s="1"/>
      <c r="F3" s="1"/>
    </row>
    <row r="4" spans="1:6" ht="15" customHeight="1" x14ac:dyDescent="0.45">
      <c r="A4" s="1"/>
      <c r="B4" s="72"/>
      <c r="C4" s="72"/>
      <c r="D4" s="72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102" t="s">
        <v>203</v>
      </c>
      <c r="C8" s="103"/>
      <c r="D8" s="104"/>
      <c r="E8" s="1"/>
      <c r="F8" s="1"/>
    </row>
    <row r="9" spans="1:6" ht="15" customHeight="1" x14ac:dyDescent="0.45">
      <c r="A9" s="1"/>
      <c r="B9" s="45" t="s">
        <v>37</v>
      </c>
      <c r="C9" s="11" t="s">
        <v>204</v>
      </c>
      <c r="D9" s="11"/>
      <c r="E9" s="1"/>
      <c r="F9" s="1"/>
    </row>
    <row r="10" spans="1:6" ht="15" customHeight="1" x14ac:dyDescent="0.45">
      <c r="A10" s="1"/>
      <c r="B10" s="49" t="s">
        <v>270</v>
      </c>
      <c r="C10" s="9">
        <v>186834</v>
      </c>
      <c r="D10" s="14" t="s">
        <v>3</v>
      </c>
      <c r="E10" s="1"/>
      <c r="F10" s="1"/>
    </row>
    <row r="11" spans="1:6" x14ac:dyDescent="0.45">
      <c r="A11" s="1"/>
      <c r="B11" s="49" t="s">
        <v>271</v>
      </c>
      <c r="C11" s="9">
        <v>69125</v>
      </c>
      <c r="D11" s="14" t="s">
        <v>3</v>
      </c>
      <c r="E11" s="1"/>
      <c r="F11" s="1"/>
    </row>
    <row r="12" spans="1:6" x14ac:dyDescent="0.45">
      <c r="A12" s="1"/>
      <c r="B12" s="49" t="s">
        <v>272</v>
      </c>
      <c r="C12" s="9">
        <v>8197726</v>
      </c>
      <c r="D12" s="14" t="s">
        <v>3</v>
      </c>
      <c r="E12" s="1"/>
      <c r="F12" s="1"/>
    </row>
    <row r="13" spans="1:6" x14ac:dyDescent="0.45">
      <c r="A13" s="1"/>
      <c r="B13" s="49" t="s">
        <v>273</v>
      </c>
      <c r="C13" s="9">
        <v>372536</v>
      </c>
      <c r="D13" s="14" t="s">
        <v>3</v>
      </c>
      <c r="E13" s="1"/>
      <c r="F13" s="1"/>
    </row>
    <row r="14" spans="1:6" x14ac:dyDescent="0.45">
      <c r="A14" s="1"/>
      <c r="B14" s="37" t="s">
        <v>205</v>
      </c>
      <c r="C14" s="12">
        <f>SUM(C10:C13)</f>
        <v>8826221</v>
      </c>
      <c r="D14" s="13" t="s">
        <v>3</v>
      </c>
      <c r="E14" s="1"/>
      <c r="F14" s="1"/>
    </row>
    <row r="15" spans="1:6" x14ac:dyDescent="0.45">
      <c r="A15" s="1"/>
      <c r="B15" s="37" t="s">
        <v>206</v>
      </c>
      <c r="C15" s="12">
        <f>C14*(1+'Fane 14. Nøgletal'!C13)^2</f>
        <v>9042894.4871336408</v>
      </c>
      <c r="D15" s="13" t="s">
        <v>3</v>
      </c>
      <c r="E15" s="1"/>
      <c r="F15" s="1"/>
    </row>
    <row r="16" spans="1:6" x14ac:dyDescent="0.45">
      <c r="A16" s="1"/>
      <c r="B16" s="16"/>
      <c r="C16" s="15"/>
      <c r="D16" s="15"/>
      <c r="E16" s="1"/>
      <c r="F16" s="1"/>
    </row>
    <row r="17" spans="1:6" x14ac:dyDescent="0.45">
      <c r="A17" s="1"/>
      <c r="B17" s="16"/>
      <c r="C17" s="15"/>
      <c r="D17" s="15"/>
      <c r="E17" s="1"/>
      <c r="F17" s="1"/>
    </row>
    <row r="18" spans="1:6" x14ac:dyDescent="0.45">
      <c r="A18" s="1"/>
      <c r="B18" s="102" t="s">
        <v>176</v>
      </c>
      <c r="C18" s="103"/>
      <c r="D18" s="104"/>
      <c r="E18" s="1"/>
      <c r="F18" s="1"/>
    </row>
    <row r="19" spans="1:6" x14ac:dyDescent="0.45">
      <c r="A19" s="1"/>
      <c r="B19" s="49" t="s">
        <v>142</v>
      </c>
      <c r="C19" s="9">
        <v>596009</v>
      </c>
      <c r="D19" s="14" t="s">
        <v>3</v>
      </c>
      <c r="E19" s="1"/>
      <c r="F19" s="1"/>
    </row>
    <row r="20" spans="1:6" x14ac:dyDescent="0.45">
      <c r="A20" s="1"/>
      <c r="B20" s="49" t="s">
        <v>143</v>
      </c>
      <c r="C20" s="9">
        <v>596009</v>
      </c>
      <c r="D20" s="14" t="s">
        <v>3</v>
      </c>
      <c r="E20" s="1"/>
      <c r="F20" s="1"/>
    </row>
    <row r="21" spans="1:6" x14ac:dyDescent="0.45">
      <c r="A21" s="1"/>
      <c r="B21" s="49" t="s">
        <v>144</v>
      </c>
      <c r="C21" s="9">
        <v>596009</v>
      </c>
      <c r="D21" s="14" t="s">
        <v>3</v>
      </c>
      <c r="E21" s="1"/>
      <c r="F21" s="1"/>
    </row>
    <row r="22" spans="1:6" x14ac:dyDescent="0.45">
      <c r="A22" s="1"/>
      <c r="B22" s="49" t="s">
        <v>207</v>
      </c>
      <c r="C22" s="9">
        <v>596009</v>
      </c>
      <c r="D22" s="14" t="s">
        <v>3</v>
      </c>
      <c r="E22" s="1"/>
      <c r="F22" s="1"/>
    </row>
    <row r="23" spans="1:6" x14ac:dyDescent="0.45">
      <c r="A23" s="1"/>
      <c r="B23" s="102"/>
      <c r="C23" s="103"/>
      <c r="D23" s="104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02" t="s">
        <v>141</v>
      </c>
      <c r="C26" s="103"/>
      <c r="D26" s="104"/>
      <c r="E26" s="1"/>
      <c r="F26" s="1"/>
    </row>
    <row r="27" spans="1:6" x14ac:dyDescent="0.45">
      <c r="A27" s="1"/>
      <c r="B27" s="49" t="s">
        <v>142</v>
      </c>
      <c r="C27" s="9">
        <v>0</v>
      </c>
      <c r="D27" s="14" t="s">
        <v>3</v>
      </c>
      <c r="E27" s="1"/>
      <c r="F27" s="1"/>
    </row>
    <row r="28" spans="1:6" x14ac:dyDescent="0.45">
      <c r="A28" s="1"/>
      <c r="B28" s="49" t="s">
        <v>143</v>
      </c>
      <c r="C28" s="9">
        <v>0</v>
      </c>
      <c r="D28" s="14" t="s">
        <v>3</v>
      </c>
      <c r="E28" s="1"/>
      <c r="F28" s="1"/>
    </row>
    <row r="29" spans="1:6" x14ac:dyDescent="0.45">
      <c r="A29" s="1"/>
      <c r="B29" s="49" t="s">
        <v>144</v>
      </c>
      <c r="C29" s="9">
        <v>0</v>
      </c>
      <c r="D29" s="14" t="s">
        <v>3</v>
      </c>
      <c r="E29" s="1"/>
      <c r="F29" s="1"/>
    </row>
    <row r="30" spans="1:6" x14ac:dyDescent="0.45">
      <c r="A30" s="1"/>
      <c r="B30" s="49" t="s">
        <v>207</v>
      </c>
      <c r="C30" s="9">
        <v>0</v>
      </c>
      <c r="D30" s="14" t="s">
        <v>3</v>
      </c>
      <c r="E30" s="1"/>
      <c r="F30" s="1"/>
    </row>
    <row r="31" spans="1:6" x14ac:dyDescent="0.45">
      <c r="A31" s="1"/>
      <c r="B31" s="102"/>
      <c r="C31" s="103"/>
      <c r="D31" s="104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  <row r="51" spans="1:6" x14ac:dyDescent="0.45">
      <c r="A51" s="1"/>
      <c r="B51" s="1"/>
      <c r="C51" s="1"/>
      <c r="D51" s="1"/>
      <c r="E51" s="1"/>
      <c r="F51" s="1"/>
    </row>
  </sheetData>
  <sheetProtection algorithmName="SHA-512" hashValue="hXLVsG2HKM7A25iC4H0/QJWKDvwL+LmuxK8bcC/FQ4BTfSzU/rVlFuW66CS7HQ70cUWIhdErRY8Qd2qARzZb7w==" saltValue="3al872mV/EX31AcwA+Tbbg==" spinCount="100000" sheet="1" objects="1" scenarios="1"/>
  <mergeCells count="6">
    <mergeCell ref="B31:D31"/>
    <mergeCell ref="B3:D4"/>
    <mergeCell ref="B8:D8"/>
    <mergeCell ref="B18:D18"/>
    <mergeCell ref="B26:D26"/>
    <mergeCell ref="B23:D23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55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7304687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92" t="s">
        <v>208</v>
      </c>
      <c r="C3" s="92"/>
      <c r="D3" s="92"/>
      <c r="E3" s="92"/>
      <c r="F3" s="92"/>
      <c r="G3" s="1"/>
    </row>
    <row r="4" spans="1:7" ht="15" customHeight="1" x14ac:dyDescent="0.45">
      <c r="A4" s="1"/>
      <c r="B4" s="92"/>
      <c r="C4" s="92"/>
      <c r="D4" s="92"/>
      <c r="E4" s="92"/>
      <c r="F4" s="92"/>
      <c r="G4" s="1"/>
    </row>
    <row r="5" spans="1:7" ht="15" customHeight="1" x14ac:dyDescent="0.45">
      <c r="A5" s="1"/>
      <c r="B5" s="39"/>
      <c r="C5" s="39"/>
      <c r="D5" s="39"/>
      <c r="E5" s="39"/>
      <c r="F5" s="39"/>
      <c r="G5" s="1"/>
    </row>
    <row r="6" spans="1:7" ht="15" customHeight="1" x14ac:dyDescent="0.45">
      <c r="A6" s="1"/>
      <c r="B6" s="39"/>
      <c r="C6" s="39"/>
      <c r="D6" s="39"/>
      <c r="E6" s="39"/>
      <c r="F6" s="39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02" t="s">
        <v>250</v>
      </c>
      <c r="C8" s="103"/>
      <c r="D8" s="103"/>
      <c r="E8" s="103"/>
      <c r="F8" s="104"/>
      <c r="G8" s="1"/>
    </row>
    <row r="9" spans="1:7" x14ac:dyDescent="0.45">
      <c r="A9" s="1"/>
      <c r="B9" s="99" t="s">
        <v>251</v>
      </c>
      <c r="C9" s="100"/>
      <c r="D9" s="101"/>
      <c r="E9" s="9">
        <v>59311843.945979327</v>
      </c>
      <c r="F9" s="14" t="s">
        <v>3</v>
      </c>
      <c r="G9" s="1"/>
    </row>
    <row r="10" spans="1:7" x14ac:dyDescent="0.45">
      <c r="A10" s="1"/>
      <c r="B10" s="99" t="s">
        <v>252</v>
      </c>
      <c r="C10" s="100"/>
      <c r="D10" s="101"/>
      <c r="E10" s="9">
        <v>62937290.799999997</v>
      </c>
      <c r="F10" s="14" t="s">
        <v>3</v>
      </c>
      <c r="G10" s="1"/>
    </row>
    <row r="11" spans="1:7" x14ac:dyDescent="0.45">
      <c r="A11" s="1"/>
      <c r="B11" s="99" t="s">
        <v>38</v>
      </c>
      <c r="C11" s="100"/>
      <c r="D11" s="101"/>
      <c r="E11" s="9">
        <v>0</v>
      </c>
      <c r="F11" s="14" t="s">
        <v>3</v>
      </c>
      <c r="G11" s="1"/>
    </row>
    <row r="12" spans="1:7" x14ac:dyDescent="0.45">
      <c r="A12" s="1"/>
      <c r="B12" s="86" t="s">
        <v>257</v>
      </c>
      <c r="C12" s="87"/>
      <c r="D12" s="88"/>
      <c r="E12" s="10">
        <f>E9-(E10-E11)</f>
        <v>-3625446.8540206701</v>
      </c>
      <c r="F12" s="17" t="s">
        <v>3</v>
      </c>
      <c r="G12" s="1"/>
    </row>
    <row r="13" spans="1:7" x14ac:dyDescent="0.45">
      <c r="A13" s="1"/>
      <c r="B13" s="37"/>
      <c r="C13" s="38"/>
      <c r="D13" s="38"/>
      <c r="E13" s="38"/>
      <c r="F13" s="20"/>
      <c r="G13" s="1"/>
    </row>
    <row r="14" spans="1:7" ht="27.75" customHeight="1" x14ac:dyDescent="0.45">
      <c r="A14" s="1"/>
      <c r="B14" s="74" t="s">
        <v>253</v>
      </c>
      <c r="C14" s="75"/>
      <c r="D14" s="75"/>
      <c r="E14" s="75"/>
      <c r="F14" s="76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02" t="s">
        <v>51</v>
      </c>
      <c r="C17" s="103"/>
      <c r="D17" s="103"/>
      <c r="E17" s="103"/>
      <c r="F17" s="104"/>
      <c r="G17" s="1"/>
    </row>
    <row r="18" spans="1:7" x14ac:dyDescent="0.45">
      <c r="A18" s="1"/>
      <c r="B18" s="99" t="s">
        <v>52</v>
      </c>
      <c r="C18" s="100"/>
      <c r="D18" s="101"/>
      <c r="E18" s="9">
        <v>58945601.751141101</v>
      </c>
      <c r="F18" s="14" t="s">
        <v>3</v>
      </c>
      <c r="G18" s="1"/>
    </row>
    <row r="19" spans="1:7" x14ac:dyDescent="0.45">
      <c r="A19" s="1"/>
      <c r="B19" s="99" t="s">
        <v>53</v>
      </c>
      <c r="C19" s="100"/>
      <c r="D19" s="101"/>
      <c r="E19" s="9">
        <v>58793908.339999996</v>
      </c>
      <c r="F19" s="14" t="s">
        <v>3</v>
      </c>
      <c r="G19" s="1"/>
    </row>
    <row r="20" spans="1:7" x14ac:dyDescent="0.45">
      <c r="A20" s="1"/>
      <c r="B20" s="99" t="s">
        <v>38</v>
      </c>
      <c r="C20" s="100"/>
      <c r="D20" s="101"/>
      <c r="E20" s="9">
        <v>0</v>
      </c>
      <c r="F20" s="14" t="s">
        <v>3</v>
      </c>
      <c r="G20" s="1"/>
    </row>
    <row r="21" spans="1:7" x14ac:dyDescent="0.45">
      <c r="A21" s="1"/>
      <c r="B21" s="86" t="s">
        <v>54</v>
      </c>
      <c r="C21" s="87"/>
      <c r="D21" s="88"/>
      <c r="E21" s="10">
        <f>E18-(E19-E20)</f>
        <v>151693.411141105</v>
      </c>
      <c r="F21" s="17" t="s">
        <v>3</v>
      </c>
      <c r="G21" s="1"/>
    </row>
    <row r="22" spans="1:7" x14ac:dyDescent="0.45">
      <c r="A22" s="1"/>
      <c r="B22" s="37"/>
      <c r="C22" s="38"/>
      <c r="D22" s="38"/>
      <c r="E22" s="38"/>
      <c r="F22" s="20"/>
      <c r="G22" s="1"/>
    </row>
    <row r="23" spans="1:7" ht="28.5" customHeight="1" x14ac:dyDescent="0.45">
      <c r="A23" s="1"/>
      <c r="B23" s="74" t="s">
        <v>253</v>
      </c>
      <c r="C23" s="75"/>
      <c r="D23" s="75"/>
      <c r="E23" s="75"/>
      <c r="F23" s="76"/>
      <c r="G23" s="1"/>
    </row>
    <row r="24" spans="1:7" ht="28.5" customHeight="1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02" t="s">
        <v>254</v>
      </c>
      <c r="C25" s="103"/>
      <c r="D25" s="103"/>
      <c r="E25" s="103"/>
      <c r="F25" s="104"/>
      <c r="G25" s="1"/>
    </row>
    <row r="26" spans="1:7" x14ac:dyDescent="0.45">
      <c r="A26" s="1"/>
      <c r="B26" s="99" t="s">
        <v>255</v>
      </c>
      <c r="C26" s="100"/>
      <c r="D26" s="101"/>
      <c r="E26" s="9">
        <v>63226638.370412216</v>
      </c>
      <c r="F26" s="14" t="s">
        <v>3</v>
      </c>
      <c r="G26" s="1"/>
    </row>
    <row r="27" spans="1:7" x14ac:dyDescent="0.45">
      <c r="A27" s="1"/>
      <c r="B27" s="99" t="s">
        <v>256</v>
      </c>
      <c r="C27" s="100"/>
      <c r="D27" s="101"/>
      <c r="E27" s="9">
        <v>68253177</v>
      </c>
      <c r="F27" s="14" t="s">
        <v>3</v>
      </c>
      <c r="G27" s="1"/>
    </row>
    <row r="28" spans="1:7" x14ac:dyDescent="0.45">
      <c r="A28" s="1"/>
      <c r="B28" s="99" t="s">
        <v>38</v>
      </c>
      <c r="C28" s="100"/>
      <c r="D28" s="101"/>
      <c r="E28" s="9">
        <v>0</v>
      </c>
      <c r="F28" s="14" t="s">
        <v>3</v>
      </c>
      <c r="G28" s="1"/>
    </row>
    <row r="29" spans="1:7" x14ac:dyDescent="0.45">
      <c r="A29" s="1"/>
      <c r="B29" s="86" t="s">
        <v>258</v>
      </c>
      <c r="C29" s="87"/>
      <c r="D29" s="88"/>
      <c r="E29" s="10">
        <f>E26-(E27-E28)</f>
        <v>-5026538.6295877844</v>
      </c>
      <c r="F29" s="17" t="s">
        <v>3</v>
      </c>
      <c r="G29" s="1"/>
    </row>
    <row r="30" spans="1:7" x14ac:dyDescent="0.45">
      <c r="A30" s="1"/>
      <c r="B30" s="37"/>
      <c r="C30" s="38"/>
      <c r="D30" s="38"/>
      <c r="E30" s="38"/>
      <c r="F30" s="20"/>
      <c r="G30" s="1"/>
    </row>
    <row r="31" spans="1:7" ht="28.5" customHeight="1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02" t="s">
        <v>259</v>
      </c>
      <c r="C32" s="103"/>
      <c r="D32" s="103"/>
      <c r="E32" s="103"/>
      <c r="F32" s="104"/>
      <c r="G32" s="1"/>
    </row>
    <row r="33" spans="1:7" x14ac:dyDescent="0.45">
      <c r="A33" s="1"/>
      <c r="B33" s="110" t="s">
        <v>260</v>
      </c>
      <c r="C33" s="111"/>
      <c r="D33" s="112"/>
      <c r="E33" s="9">
        <f>IF(AND(E12&lt;0,(E21+E29)&gt;=0),E12,IF(AND(E12&lt;0,(E21+E29)&lt;0),(E12+E21+E29),IF(AND(E12&gt;=0,(E21+E29)&gt;=0),0,IF(AND(E12&gt;=0,(E21+E29)&lt;0,(E12+E21+E29)&lt;0),(E12+E21+E29),IF(AND(E12&gt;=0,(E21+E29)&lt;0,(E12+E21+E29)&gt;0),0,0)))))</f>
        <v>-8500292.0724673495</v>
      </c>
      <c r="F33" s="14" t="s">
        <v>3</v>
      </c>
      <c r="G33" s="1"/>
    </row>
    <row r="34" spans="1:7" x14ac:dyDescent="0.45">
      <c r="A34" s="1"/>
      <c r="B34" s="110" t="s">
        <v>147</v>
      </c>
      <c r="C34" s="111"/>
      <c r="D34" s="112"/>
      <c r="E34" s="9">
        <v>2</v>
      </c>
      <c r="F34" s="14" t="s">
        <v>21</v>
      </c>
      <c r="G34" s="1"/>
    </row>
    <row r="35" spans="1:7" x14ac:dyDescent="0.45">
      <c r="A35" s="1"/>
      <c r="B35" s="113" t="s">
        <v>262</v>
      </c>
      <c r="C35" s="113"/>
      <c r="D35" s="113"/>
      <c r="E35" s="10">
        <f>E33/E34</f>
        <v>-4250146.0362336747</v>
      </c>
      <c r="F35" s="17" t="s">
        <v>3</v>
      </c>
      <c r="G35" s="1"/>
    </row>
    <row r="36" spans="1:7" x14ac:dyDescent="0.45">
      <c r="A36" s="1"/>
      <c r="B36" s="114"/>
      <c r="C36" s="115"/>
      <c r="D36" s="115"/>
      <c r="E36" s="115"/>
      <c r="F36" s="116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36"/>
      <c r="B46" s="36"/>
      <c r="C46" s="36"/>
      <c r="D46" s="36"/>
      <c r="E46" s="36"/>
      <c r="F46" s="36"/>
      <c r="G46" s="36"/>
    </row>
    <row r="47" spans="1:7" x14ac:dyDescent="0.45">
      <c r="A47" s="36"/>
      <c r="B47" s="36"/>
      <c r="C47" s="36"/>
      <c r="D47" s="36"/>
      <c r="E47" s="36"/>
      <c r="F47" s="36"/>
      <c r="G47" s="36"/>
    </row>
    <row r="48" spans="1:7" x14ac:dyDescent="0.45">
      <c r="A48" s="36"/>
      <c r="B48" s="36"/>
      <c r="C48" s="36"/>
      <c r="D48" s="36"/>
      <c r="E48" s="36"/>
      <c r="F48" s="36"/>
      <c r="G48" s="36"/>
    </row>
    <row r="49" spans="1:7" x14ac:dyDescent="0.45">
      <c r="A49" s="36"/>
      <c r="B49" s="36"/>
      <c r="C49" s="36"/>
      <c r="D49" s="36"/>
      <c r="E49" s="36"/>
      <c r="F49" s="36"/>
      <c r="G49" s="36"/>
    </row>
    <row r="50" spans="1:7" x14ac:dyDescent="0.45">
      <c r="A50" s="36"/>
      <c r="B50" s="36"/>
      <c r="C50" s="36"/>
      <c r="D50" s="36"/>
      <c r="E50" s="36"/>
      <c r="F50" s="36"/>
      <c r="G50" s="36"/>
    </row>
    <row r="51" spans="1:7" x14ac:dyDescent="0.45">
      <c r="A51" s="36"/>
      <c r="B51" s="36"/>
      <c r="C51" s="36"/>
      <c r="D51" s="36"/>
      <c r="E51" s="36"/>
      <c r="F51" s="36"/>
      <c r="G51" s="36"/>
    </row>
    <row r="52" spans="1:7" x14ac:dyDescent="0.45">
      <c r="A52" s="36"/>
      <c r="B52" s="36"/>
      <c r="C52" s="36"/>
      <c r="D52" s="36"/>
      <c r="E52" s="36"/>
      <c r="F52" s="36"/>
      <c r="G52" s="36"/>
    </row>
    <row r="53" spans="1:7" x14ac:dyDescent="0.45">
      <c r="A53" s="36"/>
      <c r="B53" s="36"/>
      <c r="C53" s="36"/>
      <c r="D53" s="36"/>
      <c r="E53" s="36"/>
      <c r="F53" s="36"/>
      <c r="G53" s="36"/>
    </row>
    <row r="54" spans="1:7" x14ac:dyDescent="0.45">
      <c r="A54" s="36"/>
      <c r="B54" s="36"/>
      <c r="C54" s="36"/>
      <c r="D54" s="36"/>
      <c r="E54" s="36"/>
      <c r="F54" s="36"/>
      <c r="G54" s="36"/>
    </row>
    <row r="55" spans="1:7" x14ac:dyDescent="0.45">
      <c r="A55" s="36"/>
      <c r="B55" s="36"/>
      <c r="C55" s="36"/>
      <c r="D55" s="36"/>
      <c r="E55" s="36"/>
      <c r="F55" s="36"/>
      <c r="G55" s="36"/>
    </row>
  </sheetData>
  <sheetProtection algorithmName="SHA-512" hashValue="8J0BCXsvrCdyTwAubqvTzKxVRQLmDCH6D3tYl6pg7pLtVLVPETQrw7ScMV/0UXe5crI9mOfcqcUQZBIrskvDxQ==" saltValue="+dxNx3wSIiDStUxN0claDQ==" spinCount="100000" sheet="1" objects="1" scenarios="1"/>
  <mergeCells count="23">
    <mergeCell ref="B29:D29"/>
    <mergeCell ref="B23:F23"/>
    <mergeCell ref="B25:F25"/>
    <mergeCell ref="B26:D26"/>
    <mergeCell ref="B27:D27"/>
    <mergeCell ref="B28:D28"/>
    <mergeCell ref="B32:F32"/>
    <mergeCell ref="B33:D33"/>
    <mergeCell ref="B34:D34"/>
    <mergeCell ref="B35:D35"/>
    <mergeCell ref="B36:F36"/>
    <mergeCell ref="B21:D21"/>
    <mergeCell ref="B3:F4"/>
    <mergeCell ref="B17:F17"/>
    <mergeCell ref="B18:D18"/>
    <mergeCell ref="B19:D19"/>
    <mergeCell ref="B20:D20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7304687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92" t="s">
        <v>209</v>
      </c>
      <c r="C3" s="92"/>
      <c r="D3" s="92"/>
      <c r="E3" s="92"/>
      <c r="F3" s="92"/>
      <c r="G3" s="1"/>
    </row>
    <row r="4" spans="1:7" ht="15" customHeight="1" x14ac:dyDescent="0.45">
      <c r="A4" s="1"/>
      <c r="B4" s="92"/>
      <c r="C4" s="92"/>
      <c r="D4" s="92"/>
      <c r="E4" s="92"/>
      <c r="F4" s="9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"/>
      <c r="C8" s="1"/>
      <c r="D8" s="1"/>
      <c r="E8" s="1"/>
      <c r="F8" s="1"/>
      <c r="G8" s="1"/>
    </row>
    <row r="9" spans="1:7" ht="15" customHeight="1" x14ac:dyDescent="0.45">
      <c r="A9" s="1"/>
      <c r="B9" s="102" t="s">
        <v>210</v>
      </c>
      <c r="C9" s="103"/>
      <c r="D9" s="103"/>
      <c r="E9" s="103"/>
      <c r="F9" s="103"/>
      <c r="G9" s="1"/>
    </row>
    <row r="10" spans="1:7" x14ac:dyDescent="0.45">
      <c r="A10" s="1"/>
      <c r="B10" s="74" t="s">
        <v>145</v>
      </c>
      <c r="C10" s="75"/>
      <c r="D10" s="76"/>
      <c r="E10" s="7">
        <v>0</v>
      </c>
      <c r="F10" s="8" t="s">
        <v>3</v>
      </c>
      <c r="G10" s="1"/>
    </row>
    <row r="11" spans="1:7" x14ac:dyDescent="0.45">
      <c r="A11" s="1"/>
      <c r="B11" s="99" t="s">
        <v>211</v>
      </c>
      <c r="C11" s="100"/>
      <c r="D11" s="101"/>
      <c r="E11" s="7">
        <v>0</v>
      </c>
      <c r="F11" s="8" t="s">
        <v>3</v>
      </c>
      <c r="G11" s="1"/>
    </row>
    <row r="12" spans="1:7" x14ac:dyDescent="0.45">
      <c r="A12" s="1"/>
      <c r="B12" s="86" t="s">
        <v>146</v>
      </c>
      <c r="C12" s="87"/>
      <c r="D12" s="88"/>
      <c r="E12" s="10">
        <f>E11-E10</f>
        <v>0</v>
      </c>
      <c r="F12" s="11" t="s">
        <v>3</v>
      </c>
      <c r="G12" s="1"/>
    </row>
    <row r="13" spans="1:7" x14ac:dyDescent="0.45">
      <c r="A13" s="1"/>
      <c r="B13" s="102" t="s">
        <v>133</v>
      </c>
      <c r="C13" s="103"/>
      <c r="D13" s="103"/>
      <c r="E13" s="103"/>
      <c r="F13" s="103"/>
      <c r="G13" s="1"/>
    </row>
    <row r="14" spans="1:7" x14ac:dyDescent="0.45">
      <c r="A14" s="1"/>
      <c r="B14" s="99" t="s">
        <v>212</v>
      </c>
      <c r="C14" s="100"/>
      <c r="D14" s="101"/>
      <c r="E14" s="9">
        <v>596009</v>
      </c>
      <c r="F14" s="8" t="s">
        <v>3</v>
      </c>
      <c r="G14" s="1"/>
    </row>
    <row r="15" spans="1:7" x14ac:dyDescent="0.45">
      <c r="A15" s="1"/>
      <c r="B15" s="74" t="s">
        <v>213</v>
      </c>
      <c r="C15" s="75"/>
      <c r="D15" s="76"/>
      <c r="E15" s="9">
        <v>0</v>
      </c>
      <c r="F15" s="8" t="s">
        <v>3</v>
      </c>
      <c r="G15" s="1"/>
    </row>
    <row r="16" spans="1:7" x14ac:dyDescent="0.45">
      <c r="A16" s="1"/>
      <c r="B16" s="86" t="s">
        <v>146</v>
      </c>
      <c r="C16" s="87"/>
      <c r="D16" s="88"/>
      <c r="E16" s="10">
        <f>E15-E14</f>
        <v>-596009</v>
      </c>
      <c r="F16" s="11" t="s">
        <v>3</v>
      </c>
      <c r="G16" s="1"/>
    </row>
    <row r="17" spans="1:7" ht="15" customHeight="1" x14ac:dyDescent="0.45">
      <c r="A17" s="1"/>
      <c r="B17" s="37" t="s">
        <v>214</v>
      </c>
      <c r="C17" s="38"/>
      <c r="D17" s="38"/>
      <c r="E17" s="12">
        <f>E12+E16</f>
        <v>-596009</v>
      </c>
      <c r="F17" s="13" t="s">
        <v>3</v>
      </c>
      <c r="G17" s="1"/>
    </row>
    <row r="18" spans="1:7" ht="15" customHeight="1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K460dIRFtAhTiA1VIacxd8/rWHSDv6MbiZi+iWeOsUTfpaP/5Ng+cGejUU5DMeAWEGobBLngNrWKJDaClQRpnA==" saltValue="ERyK95z2ExpVBozRhcksVg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5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2" t="s">
        <v>235</v>
      </c>
      <c r="C3" s="72"/>
      <c r="D3" s="72"/>
      <c r="E3" s="72"/>
      <c r="F3" s="72"/>
      <c r="G3" s="72"/>
      <c r="H3" s="72"/>
      <c r="I3" s="1"/>
    </row>
    <row r="4" spans="1:9" ht="15" customHeight="1" x14ac:dyDescent="0.4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102" t="s">
        <v>236</v>
      </c>
      <c r="C8" s="103"/>
      <c r="D8" s="103"/>
      <c r="E8" s="103"/>
      <c r="F8" s="103"/>
      <c r="G8" s="103"/>
      <c r="H8" s="104"/>
      <c r="I8" s="1"/>
    </row>
    <row r="9" spans="1:9" ht="39.75" customHeight="1" x14ac:dyDescent="0.4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35</v>
      </c>
      <c r="H9" s="53"/>
      <c r="I9" s="1"/>
    </row>
    <row r="10" spans="1:9" x14ac:dyDescent="0.45">
      <c r="A10" s="1"/>
      <c r="B10" s="51" t="s">
        <v>279</v>
      </c>
      <c r="C10" s="122" t="s">
        <v>280</v>
      </c>
      <c r="D10" s="9">
        <v>3087185.03</v>
      </c>
      <c r="E10" s="9">
        <f>IFERROR(D10/C10,0)</f>
        <v>154359.25149999998</v>
      </c>
      <c r="F10" s="9">
        <v>0</v>
      </c>
      <c r="G10" s="9">
        <v>50321.120000000003</v>
      </c>
      <c r="H10" s="14" t="s">
        <v>3</v>
      </c>
      <c r="I10" s="1"/>
    </row>
    <row r="11" spans="1:9" x14ac:dyDescent="0.45">
      <c r="A11" s="1"/>
      <c r="B11" s="51" t="s">
        <v>281</v>
      </c>
      <c r="C11" s="122" t="s">
        <v>282</v>
      </c>
      <c r="D11" s="9">
        <v>343020.56</v>
      </c>
      <c r="E11" s="9">
        <f t="shared" ref="E11:E17" si="0">IFERROR(D11/C11,0)</f>
        <v>34302.055999999997</v>
      </c>
      <c r="F11" s="9">
        <v>0</v>
      </c>
      <c r="G11" s="9">
        <v>5591.24</v>
      </c>
      <c r="H11" s="14" t="s">
        <v>3</v>
      </c>
      <c r="I11" s="1"/>
    </row>
    <row r="12" spans="1:9" ht="26.65" x14ac:dyDescent="0.45">
      <c r="A12" s="1"/>
      <c r="B12" s="51" t="s">
        <v>283</v>
      </c>
      <c r="C12" s="122" t="s">
        <v>284</v>
      </c>
      <c r="D12" s="9">
        <v>1467895.3</v>
      </c>
      <c r="E12" s="9">
        <f t="shared" si="0"/>
        <v>19571.937333333335</v>
      </c>
      <c r="F12" s="9">
        <v>0</v>
      </c>
      <c r="G12" s="9">
        <v>23926.69</v>
      </c>
      <c r="H12" s="14" t="s">
        <v>3</v>
      </c>
      <c r="I12" s="1"/>
    </row>
    <row r="13" spans="1:9" x14ac:dyDescent="0.45">
      <c r="A13" s="1"/>
      <c r="B13" s="51" t="s">
        <v>285</v>
      </c>
      <c r="C13" s="122" t="s">
        <v>284</v>
      </c>
      <c r="D13" s="9">
        <v>259894.08</v>
      </c>
      <c r="E13" s="9">
        <f t="shared" si="0"/>
        <v>3465.2543999999998</v>
      </c>
      <c r="F13" s="9">
        <v>0</v>
      </c>
      <c r="G13" s="9">
        <v>4236.2700000000004</v>
      </c>
      <c r="H13" s="14" t="s">
        <v>3</v>
      </c>
      <c r="I13" s="1"/>
    </row>
    <row r="14" spans="1:9" x14ac:dyDescent="0.45">
      <c r="A14" s="1"/>
      <c r="B14" s="51" t="s">
        <v>286</v>
      </c>
      <c r="C14" s="122" t="s">
        <v>284</v>
      </c>
      <c r="D14" s="9">
        <v>215291.31</v>
      </c>
      <c r="E14" s="9">
        <f t="shared" si="0"/>
        <v>2870.5508</v>
      </c>
      <c r="F14" s="9">
        <v>0</v>
      </c>
      <c r="G14" s="9">
        <v>3509.25</v>
      </c>
      <c r="H14" s="14" t="s">
        <v>3</v>
      </c>
      <c r="I14" s="1"/>
    </row>
    <row r="15" spans="1:9" ht="52.9" x14ac:dyDescent="0.45">
      <c r="A15" s="1"/>
      <c r="B15" s="51" t="s">
        <v>287</v>
      </c>
      <c r="C15" s="122" t="s">
        <v>280</v>
      </c>
      <c r="D15" s="9">
        <v>4647732.96</v>
      </c>
      <c r="E15" s="9">
        <f t="shared" si="0"/>
        <v>232386.64799999999</v>
      </c>
      <c r="F15" s="9">
        <v>0</v>
      </c>
      <c r="G15" s="9">
        <v>75758.05</v>
      </c>
      <c r="H15" s="14" t="s">
        <v>3</v>
      </c>
      <c r="I15" s="1"/>
    </row>
    <row r="16" spans="1:9" ht="52.9" x14ac:dyDescent="0.45">
      <c r="A16" s="1"/>
      <c r="B16" s="51" t="s">
        <v>288</v>
      </c>
      <c r="C16" s="122" t="s">
        <v>282</v>
      </c>
      <c r="D16" s="9">
        <v>244617.52</v>
      </c>
      <c r="E16" s="9">
        <f t="shared" si="0"/>
        <v>24461.752</v>
      </c>
      <c r="F16" s="9">
        <v>0</v>
      </c>
      <c r="G16" s="9">
        <v>3987.27</v>
      </c>
      <c r="H16" s="14" t="s">
        <v>3</v>
      </c>
      <c r="I16" s="1"/>
    </row>
    <row r="17" spans="1:9" x14ac:dyDescent="0.45">
      <c r="A17" s="1"/>
      <c r="B17" s="51" t="s">
        <v>285</v>
      </c>
      <c r="C17" s="122" t="s">
        <v>284</v>
      </c>
      <c r="D17" s="9">
        <v>144407.35</v>
      </c>
      <c r="E17" s="9">
        <f t="shared" si="0"/>
        <v>1925.4313333333334</v>
      </c>
      <c r="F17" s="9">
        <v>0</v>
      </c>
      <c r="G17" s="9">
        <v>2353.84</v>
      </c>
      <c r="H17" s="14" t="s">
        <v>3</v>
      </c>
      <c r="I17" s="1"/>
    </row>
    <row r="18" spans="1:9" x14ac:dyDescent="0.45">
      <c r="A18" s="1"/>
      <c r="B18" s="51" t="s">
        <v>289</v>
      </c>
      <c r="C18" s="122" t="s">
        <v>284</v>
      </c>
      <c r="D18" s="9">
        <v>38062.28</v>
      </c>
      <c r="E18" s="9">
        <f t="shared" ref="E18:E19" si="1">IFERROR(D18/C18,0)</f>
        <v>507.49706666666663</v>
      </c>
      <c r="F18" s="9">
        <v>0</v>
      </c>
      <c r="G18" s="9">
        <v>620.41999999999996</v>
      </c>
      <c r="H18" s="14" t="s">
        <v>3</v>
      </c>
      <c r="I18" s="1"/>
    </row>
    <row r="19" spans="1:9" x14ac:dyDescent="0.45">
      <c r="A19" s="1"/>
      <c r="B19" s="51" t="s">
        <v>286</v>
      </c>
      <c r="C19" s="122" t="s">
        <v>284</v>
      </c>
      <c r="D19" s="9">
        <v>570934.17000000004</v>
      </c>
      <c r="E19" s="9">
        <f t="shared" si="1"/>
        <v>7612.4556000000002</v>
      </c>
      <c r="F19" s="9">
        <v>0</v>
      </c>
      <c r="G19" s="9">
        <v>9306.23</v>
      </c>
      <c r="H19" s="14" t="s">
        <v>3</v>
      </c>
      <c r="I19" s="1"/>
    </row>
    <row r="20" spans="1:9" x14ac:dyDescent="0.45">
      <c r="A20" s="1"/>
      <c r="B20" s="102" t="s">
        <v>237</v>
      </c>
      <c r="C20" s="103"/>
      <c r="D20" s="104"/>
      <c r="E20" s="12">
        <f>SUM(E10:E19)</f>
        <v>481462.83403333323</v>
      </c>
      <c r="F20" s="12">
        <f t="shared" ref="F20" si="2">SUM(F10:F19)</f>
        <v>0</v>
      </c>
      <c r="G20" s="12">
        <f>SUM(G10:G19)</f>
        <v>179610.38</v>
      </c>
      <c r="H20" s="13" t="s">
        <v>3</v>
      </c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4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4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4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45">
      <c r="A55" s="1"/>
      <c r="B55" s="1"/>
      <c r="C55" s="1"/>
      <c r="D55" s="1"/>
      <c r="E55" s="1"/>
      <c r="F55" s="1"/>
      <c r="G55" s="1"/>
      <c r="H55" s="1"/>
      <c r="I55" s="1"/>
    </row>
  </sheetData>
  <sheetProtection algorithmName="SHA-512" hashValue="ASxXIKPu9tsZv8t3fj3SCz8ZrpRFDisBwmVltN1ptl88kKEzrDurx/xBM3zwvJgv/veZl8EPA5yWgk3Balxm8Q==" saltValue="eTx/1aND6Gg4r8nl/jpYgA==" spinCount="100000" sheet="1" objects="1" scenarios="1"/>
  <mergeCells count="3">
    <mergeCell ref="B3:H4"/>
    <mergeCell ref="B20:D20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2" t="s">
        <v>164</v>
      </c>
      <c r="C3" s="72"/>
      <c r="D3" s="72"/>
      <c r="E3" s="72"/>
      <c r="F3" s="72"/>
      <c r="G3" s="1"/>
    </row>
    <row r="4" spans="1:7" ht="15" customHeight="1" x14ac:dyDescent="0.45">
      <c r="A4" s="1"/>
      <c r="B4" s="72"/>
      <c r="C4" s="72"/>
      <c r="D4" s="72"/>
      <c r="E4" s="72"/>
      <c r="F4" s="7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7" t="s">
        <v>105</v>
      </c>
      <c r="C8" s="38"/>
      <c r="D8" s="38"/>
      <c r="E8" s="38"/>
      <c r="F8" s="20"/>
      <c r="G8" s="1"/>
    </row>
    <row r="9" spans="1:7" ht="17.25" customHeight="1" x14ac:dyDescent="0.45">
      <c r="A9" s="1"/>
      <c r="B9" s="43" t="s">
        <v>18</v>
      </c>
      <c r="C9" s="43" t="s">
        <v>12</v>
      </c>
      <c r="D9" s="44"/>
      <c r="E9" s="43" t="s">
        <v>36</v>
      </c>
      <c r="F9" s="53"/>
      <c r="G9" s="1"/>
    </row>
    <row r="10" spans="1:7" x14ac:dyDescent="0.45">
      <c r="A10" s="1"/>
      <c r="B10" s="25" t="s">
        <v>238</v>
      </c>
      <c r="C10" s="22">
        <f>'Fane 9. Anlægsprojekter'!F20</f>
        <v>0</v>
      </c>
      <c r="D10" s="14" t="s">
        <v>3</v>
      </c>
      <c r="E10" s="9">
        <f>SUM('Fane 9. Anlægsprojekter'!E20,'Fane 9. Anlægsprojekter'!G20)</f>
        <v>661073.21403333324</v>
      </c>
      <c r="F10" s="14" t="s">
        <v>3</v>
      </c>
      <c r="G10" s="1"/>
    </row>
    <row r="11" spans="1:7" x14ac:dyDescent="0.45">
      <c r="A11" s="1"/>
      <c r="B11" s="123" t="s">
        <v>276</v>
      </c>
      <c r="C11" s="22">
        <v>83229</v>
      </c>
      <c r="D11" s="14" t="s">
        <v>3</v>
      </c>
      <c r="E11" s="9">
        <v>33720</v>
      </c>
      <c r="F11" s="14" t="s">
        <v>3</v>
      </c>
      <c r="G11" s="1"/>
    </row>
    <row r="12" spans="1:7" x14ac:dyDescent="0.45">
      <c r="A12" s="1"/>
      <c r="B12" s="25" t="s">
        <v>277</v>
      </c>
      <c r="C12" s="22">
        <v>36840</v>
      </c>
      <c r="D12" s="14" t="s">
        <v>3</v>
      </c>
      <c r="E12" s="9">
        <v>0</v>
      </c>
      <c r="F12" s="14" t="s">
        <v>3</v>
      </c>
      <c r="G12" s="1"/>
    </row>
    <row r="13" spans="1:7" x14ac:dyDescent="0.45">
      <c r="A13" s="1"/>
      <c r="B13" s="37" t="s">
        <v>49</v>
      </c>
      <c r="C13" s="12">
        <f>SUM(C10:C12)</f>
        <v>120069</v>
      </c>
      <c r="D13" s="13" t="s">
        <v>3</v>
      </c>
      <c r="E13" s="12">
        <f>SUM(E10:E12)</f>
        <v>694793.21403333324</v>
      </c>
      <c r="F13" s="13" t="s">
        <v>3</v>
      </c>
      <c r="G13" s="1"/>
    </row>
    <row r="14" spans="1:7" x14ac:dyDescent="0.45">
      <c r="A14" s="1"/>
      <c r="B14" s="37" t="s">
        <v>215</v>
      </c>
      <c r="C14" s="12">
        <f>C13*(1+'Fane 14. Nøgletal'!C13)</f>
        <v>121533.84179999999</v>
      </c>
      <c r="D14" s="13" t="s">
        <v>3</v>
      </c>
      <c r="E14" s="12">
        <f>E13*(1+'Fane 14. Nøgletal'!C13)</f>
        <v>703269.69124453992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X8i4+jRUXSwj8pKiP1dMiBYVfC5+cQ+cXkCQUhcGilO42to0dCa8c/Kubzmi9aBFgd6yOMBnH5I9Dmm30tuCxg==" saltValue="jTaX2IS7Utb+F45vwIqYU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2" t="s">
        <v>163</v>
      </c>
      <c r="C3" s="72"/>
      <c r="D3" s="72"/>
      <c r="E3" s="72"/>
      <c r="F3" s="72"/>
      <c r="G3" s="1"/>
    </row>
    <row r="4" spans="1:7" ht="15" customHeight="1" x14ac:dyDescent="0.45">
      <c r="A4" s="1"/>
      <c r="B4" s="72"/>
      <c r="C4" s="72"/>
      <c r="D4" s="72"/>
      <c r="E4" s="72"/>
      <c r="F4" s="7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02" t="s">
        <v>136</v>
      </c>
      <c r="C8" s="103"/>
      <c r="D8" s="103"/>
      <c r="E8" s="103"/>
      <c r="F8" s="104"/>
      <c r="G8" s="1"/>
    </row>
    <row r="9" spans="1:7" x14ac:dyDescent="0.45">
      <c r="A9" s="1"/>
      <c r="B9" s="43" t="s">
        <v>18</v>
      </c>
      <c r="C9" s="43" t="s">
        <v>12</v>
      </c>
      <c r="D9" s="44"/>
      <c r="E9" s="43" t="s">
        <v>36</v>
      </c>
      <c r="F9" s="53"/>
      <c r="G9" s="1"/>
    </row>
    <row r="10" spans="1:7" x14ac:dyDescent="0.45">
      <c r="A10" s="1"/>
      <c r="B10" s="25" t="s">
        <v>277</v>
      </c>
      <c r="C10" s="22">
        <v>921003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7" t="s">
        <v>216</v>
      </c>
      <c r="C11" s="12">
        <f>SUM(C10:C10)</f>
        <v>921003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7" t="s">
        <v>10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45">
      <c r="A13" s="1"/>
      <c r="B13" s="27" t="s">
        <v>140</v>
      </c>
      <c r="C13" s="28">
        <f>-C11*'Fane 14. Nøgletal'!C27</f>
        <v>-18420.060000000001</v>
      </c>
      <c r="D13" s="29" t="s">
        <v>3</v>
      </c>
      <c r="E13" s="28">
        <f>-E11*'Fane 14. Nøgletal'!C22</f>
        <v>0</v>
      </c>
      <c r="F13" s="29" t="s">
        <v>3</v>
      </c>
      <c r="G13" s="1"/>
    </row>
    <row r="14" spans="1:7" x14ac:dyDescent="0.45">
      <c r="A14" s="1"/>
      <c r="B14" s="37" t="s">
        <v>139</v>
      </c>
      <c r="C14" s="12">
        <f>SUM(C11:C13)*(1+'Fane 14. Nøgletal'!C13)^2</f>
        <v>924740.30418078951</v>
      </c>
      <c r="D14" s="13" t="s">
        <v>3</v>
      </c>
      <c r="E14" s="12">
        <f>SUM(E11:E13)*(1+'Fane 14. Nøgletal'!C13)^2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02" t="s">
        <v>137</v>
      </c>
      <c r="C16" s="103"/>
      <c r="D16" s="103"/>
      <c r="E16" s="103"/>
      <c r="F16" s="104"/>
      <c r="G16" s="1"/>
    </row>
    <row r="17" spans="1:7" x14ac:dyDescent="0.45">
      <c r="A17" s="1"/>
      <c r="B17" s="43" t="s">
        <v>18</v>
      </c>
      <c r="C17" s="43" t="s">
        <v>12</v>
      </c>
      <c r="D17" s="44"/>
      <c r="E17" s="43" t="s">
        <v>36</v>
      </c>
      <c r="F17" s="53"/>
      <c r="G17" s="1"/>
    </row>
    <row r="18" spans="1:7" x14ac:dyDescent="0.45">
      <c r="A18" s="1"/>
      <c r="B18" s="25" t="s">
        <v>278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37" t="s">
        <v>216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7" t="s">
        <v>10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45">
      <c r="A21" s="1"/>
      <c r="B21" s="27" t="s">
        <v>140</v>
      </c>
      <c r="C21" s="28">
        <f>-C19*'Fane 14. Nøgletal'!C27</f>
        <v>0</v>
      </c>
      <c r="D21" s="29" t="s">
        <v>3</v>
      </c>
      <c r="E21" s="28">
        <f>-E19*'Fane 14. Nøgletal'!C22</f>
        <v>0</v>
      </c>
      <c r="F21" s="29" t="s">
        <v>3</v>
      </c>
      <c r="G21" s="1"/>
    </row>
    <row r="22" spans="1:7" x14ac:dyDescent="0.45">
      <c r="A22" s="1"/>
      <c r="B22" s="37" t="s">
        <v>217</v>
      </c>
      <c r="C22" s="12">
        <f>SUM(C19:C21)*(1+'Fane 14. Nøgletal'!C13)^3</f>
        <v>0</v>
      </c>
      <c r="D22" s="13" t="s">
        <v>3</v>
      </c>
      <c r="E22" s="12">
        <f>SUM(E19:E21)*(1+'Fane 14. Nøgletal'!C13)^3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02" t="s">
        <v>138</v>
      </c>
      <c r="C24" s="103"/>
      <c r="D24" s="103"/>
      <c r="E24" s="103"/>
      <c r="F24" s="104"/>
      <c r="G24" s="1"/>
    </row>
    <row r="25" spans="1:7" x14ac:dyDescent="0.45">
      <c r="A25" s="1"/>
      <c r="B25" s="43" t="s">
        <v>18</v>
      </c>
      <c r="C25" s="43" t="s">
        <v>12</v>
      </c>
      <c r="D25" s="44"/>
      <c r="E25" s="43" t="s">
        <v>36</v>
      </c>
      <c r="F25" s="53"/>
      <c r="G25" s="1"/>
    </row>
    <row r="26" spans="1:7" x14ac:dyDescent="0.45">
      <c r="A26" s="1"/>
      <c r="B26" s="25" t="s">
        <v>278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37" t="s">
        <v>216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7" t="s">
        <v>10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45">
      <c r="A29" s="1"/>
      <c r="B29" s="27" t="s">
        <v>140</v>
      </c>
      <c r="C29" s="28">
        <f>-C27*'Fane 14. Nøgletal'!C27</f>
        <v>0</v>
      </c>
      <c r="D29" s="29" t="s">
        <v>3</v>
      </c>
      <c r="E29" s="28">
        <f>-E27*'Fane 14. Nøgletal'!C22</f>
        <v>0</v>
      </c>
      <c r="F29" s="29" t="s">
        <v>3</v>
      </c>
      <c r="G29" s="1"/>
    </row>
    <row r="30" spans="1:7" x14ac:dyDescent="0.45">
      <c r="A30" s="1"/>
      <c r="B30" s="37" t="s">
        <v>217</v>
      </c>
      <c r="C30" s="12">
        <f>SUM(C27:C29)*(1+'Fane 14. Nøgletal'!C13)^4</f>
        <v>0</v>
      </c>
      <c r="D30" s="13" t="s">
        <v>3</v>
      </c>
      <c r="E30" s="12">
        <f>SUM(E27:E29)*(1+'Fane 14. Nøgletal'!C13)^4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02" t="s">
        <v>218</v>
      </c>
      <c r="C32" s="103"/>
      <c r="D32" s="103"/>
      <c r="E32" s="103"/>
      <c r="F32" s="104"/>
      <c r="G32" s="1"/>
    </row>
    <row r="33" spans="1:7" x14ac:dyDescent="0.45">
      <c r="A33" s="1"/>
      <c r="B33" s="43" t="s">
        <v>18</v>
      </c>
      <c r="C33" s="43" t="s">
        <v>12</v>
      </c>
      <c r="D33" s="44"/>
      <c r="E33" s="43" t="s">
        <v>36</v>
      </c>
      <c r="F33" s="53"/>
      <c r="G33" s="1"/>
    </row>
    <row r="34" spans="1:7" x14ac:dyDescent="0.45">
      <c r="A34" s="1"/>
      <c r="B34" s="25" t="s">
        <v>278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37" t="s">
        <v>216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7" t="s">
        <v>10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45">
      <c r="A37" s="1"/>
      <c r="B37" s="27" t="s">
        <v>140</v>
      </c>
      <c r="C37" s="28">
        <f>-C35*'Fane 14. Nøgletal'!C27</f>
        <v>0</v>
      </c>
      <c r="D37" s="29" t="s">
        <v>3</v>
      </c>
      <c r="E37" s="28">
        <f>-E35*'Fane 14. Nøgletal'!C22</f>
        <v>0</v>
      </c>
      <c r="F37" s="29" t="s">
        <v>3</v>
      </c>
      <c r="G37" s="1"/>
    </row>
    <row r="38" spans="1:7" x14ac:dyDescent="0.45">
      <c r="A38" s="1"/>
      <c r="B38" s="37" t="s">
        <v>217</v>
      </c>
      <c r="C38" s="12">
        <f>SUM(C35:C37)*(1+'Fane 14. Nøgletal'!C13)^5</f>
        <v>0</v>
      </c>
      <c r="D38" s="13" t="s">
        <v>3</v>
      </c>
      <c r="E38" s="12">
        <f>SUM(E35:E37)*(1+'Fane 14. Nøgletal'!C13)^5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QdpuDbUXJWl9dUk3FCpePoeRVDMyTV59+PiccV6yxmO9R/xJ+3CJpMU0g8Qh9x7zs7IB0AM5QlYMZvCfg294Nw==" saltValue="zQ9VdLGQyZcXbL6ZVQqPN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2" t="s">
        <v>175</v>
      </c>
      <c r="C3" s="92"/>
      <c r="D3" s="92"/>
      <c r="E3" s="92"/>
      <c r="F3" s="92"/>
      <c r="G3" s="1"/>
    </row>
    <row r="4" spans="1:7" ht="15" customHeight="1" x14ac:dyDescent="0.45">
      <c r="A4" s="1"/>
      <c r="B4" s="92"/>
      <c r="C4" s="92"/>
      <c r="D4" s="92"/>
      <c r="E4" s="92"/>
      <c r="F4" s="92"/>
      <c r="G4" s="1"/>
    </row>
    <row r="5" spans="1:7" x14ac:dyDescent="0.45">
      <c r="A5" s="1"/>
      <c r="B5" s="92"/>
      <c r="C5" s="92"/>
      <c r="D5" s="92"/>
      <c r="E5" s="92"/>
      <c r="F5" s="92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02" t="s">
        <v>123</v>
      </c>
      <c r="C8" s="103"/>
      <c r="D8" s="103"/>
      <c r="E8" s="103"/>
      <c r="F8" s="104"/>
      <c r="G8" s="1"/>
    </row>
    <row r="9" spans="1:7" x14ac:dyDescent="0.45">
      <c r="A9" s="1"/>
      <c r="B9" s="117" t="s">
        <v>219</v>
      </c>
      <c r="C9" s="118"/>
      <c r="D9" s="119"/>
      <c r="E9" s="9">
        <v>0</v>
      </c>
      <c r="F9" s="14" t="s">
        <v>3</v>
      </c>
      <c r="G9" s="1"/>
    </row>
    <row r="10" spans="1:7" x14ac:dyDescent="0.45">
      <c r="A10" s="1"/>
      <c r="B10" s="89" t="s">
        <v>10</v>
      </c>
      <c r="C10" s="90"/>
      <c r="D10" s="91"/>
      <c r="E10" s="9">
        <f>-E9*'Fane 5. Individuelt eff. krav'!G10</f>
        <v>0</v>
      </c>
      <c r="F10" s="14" t="s">
        <v>3</v>
      </c>
      <c r="G10" s="1"/>
    </row>
    <row r="11" spans="1:7" x14ac:dyDescent="0.45">
      <c r="A11" s="1"/>
      <c r="B11" s="89" t="s">
        <v>29</v>
      </c>
      <c r="C11" s="90"/>
      <c r="D11" s="91"/>
      <c r="E11" s="9">
        <f>-E9*'Fane 14. Nøgletal'!C27</f>
        <v>0</v>
      </c>
      <c r="F11" s="14" t="s">
        <v>3</v>
      </c>
      <c r="G11" s="1"/>
    </row>
    <row r="12" spans="1:7" x14ac:dyDescent="0.45">
      <c r="A12" s="1"/>
      <c r="B12" s="102" t="s">
        <v>126</v>
      </c>
      <c r="C12" s="103"/>
      <c r="D12" s="104"/>
      <c r="E12" s="12">
        <f>SUM(E9:E11)*(1+'Fane 14. Nøgletal'!C10)^2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02" t="s">
        <v>124</v>
      </c>
      <c r="C14" s="103"/>
      <c r="D14" s="103"/>
      <c r="E14" s="103"/>
      <c r="F14" s="104"/>
      <c r="G14" s="1"/>
    </row>
    <row r="15" spans="1:7" x14ac:dyDescent="0.45">
      <c r="A15" s="1"/>
      <c r="B15" s="117" t="s">
        <v>219</v>
      </c>
      <c r="C15" s="118"/>
      <c r="D15" s="119"/>
      <c r="E15" s="9">
        <v>0</v>
      </c>
      <c r="F15" s="14" t="s">
        <v>3</v>
      </c>
      <c r="G15" s="1"/>
    </row>
    <row r="16" spans="1:7" x14ac:dyDescent="0.45">
      <c r="A16" s="1"/>
      <c r="B16" s="89" t="s">
        <v>10</v>
      </c>
      <c r="C16" s="90"/>
      <c r="D16" s="91"/>
      <c r="E16" s="9">
        <f>-E15*'Fane 5. Individuelt eff. krav'!G10</f>
        <v>0</v>
      </c>
      <c r="F16" s="14" t="s">
        <v>3</v>
      </c>
      <c r="G16" s="1"/>
    </row>
    <row r="17" spans="1:7" x14ac:dyDescent="0.45">
      <c r="A17" s="1"/>
      <c r="B17" s="89" t="s">
        <v>29</v>
      </c>
      <c r="C17" s="90"/>
      <c r="D17" s="91"/>
      <c r="E17" s="9">
        <f>-E15*'Fane 14. Nøgletal'!C27</f>
        <v>0</v>
      </c>
      <c r="F17" s="14" t="s">
        <v>3</v>
      </c>
      <c r="G17" s="1"/>
    </row>
    <row r="18" spans="1:7" x14ac:dyDescent="0.45">
      <c r="A18" s="1"/>
      <c r="B18" s="102" t="s">
        <v>127</v>
      </c>
      <c r="C18" s="103"/>
      <c r="D18" s="104"/>
      <c r="E18" s="12">
        <f>SUM(E15:E17)*(1+'Fane 14. Nøgletal'!C13)^3</f>
        <v>0</v>
      </c>
      <c r="F18" s="13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02" t="s">
        <v>125</v>
      </c>
      <c r="C20" s="103"/>
      <c r="D20" s="103"/>
      <c r="E20" s="103"/>
      <c r="F20" s="104"/>
      <c r="G20" s="1"/>
    </row>
    <row r="21" spans="1:7" x14ac:dyDescent="0.45">
      <c r="A21" s="1"/>
      <c r="B21" s="117" t="s">
        <v>219</v>
      </c>
      <c r="C21" s="118"/>
      <c r="D21" s="119"/>
      <c r="E21" s="9">
        <v>0</v>
      </c>
      <c r="F21" s="14" t="s">
        <v>3</v>
      </c>
      <c r="G21" s="1"/>
    </row>
    <row r="22" spans="1:7" x14ac:dyDescent="0.45">
      <c r="A22" s="1"/>
      <c r="B22" s="89" t="s">
        <v>10</v>
      </c>
      <c r="C22" s="90"/>
      <c r="D22" s="91"/>
      <c r="E22" s="9">
        <f>-E21*'Fane 5. Individuelt eff. krav'!G10</f>
        <v>0</v>
      </c>
      <c r="F22" s="14" t="s">
        <v>3</v>
      </c>
      <c r="G22" s="1"/>
    </row>
    <row r="23" spans="1:7" x14ac:dyDescent="0.45">
      <c r="A23" s="1"/>
      <c r="B23" s="89" t="s">
        <v>29</v>
      </c>
      <c r="C23" s="90"/>
      <c r="D23" s="91"/>
      <c r="E23" s="9">
        <f>-E21*'Fane 14. Nøgletal'!C27</f>
        <v>0</v>
      </c>
      <c r="F23" s="14" t="s">
        <v>3</v>
      </c>
      <c r="G23" s="1"/>
    </row>
    <row r="24" spans="1:7" x14ac:dyDescent="0.45">
      <c r="A24" s="1"/>
      <c r="B24" s="102" t="s">
        <v>128</v>
      </c>
      <c r="C24" s="103"/>
      <c r="D24" s="104"/>
      <c r="E24" s="12">
        <f>SUM(E21:E23)*(1+'Fane 14. Nøgletal'!C13)^4</f>
        <v>0</v>
      </c>
      <c r="F24" s="13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02" t="s">
        <v>220</v>
      </c>
      <c r="C26" s="103"/>
      <c r="D26" s="103"/>
      <c r="E26" s="103"/>
      <c r="F26" s="104"/>
      <c r="G26" s="1"/>
    </row>
    <row r="27" spans="1:7" x14ac:dyDescent="0.45">
      <c r="A27" s="1"/>
      <c r="B27" s="117" t="s">
        <v>122</v>
      </c>
      <c r="C27" s="118"/>
      <c r="D27" s="119"/>
      <c r="E27" s="9">
        <v>0</v>
      </c>
      <c r="F27" s="14" t="s">
        <v>3</v>
      </c>
      <c r="G27" s="1"/>
    </row>
    <row r="28" spans="1:7" x14ac:dyDescent="0.45">
      <c r="A28" s="1"/>
      <c r="B28" s="89" t="s">
        <v>10</v>
      </c>
      <c r="C28" s="90"/>
      <c r="D28" s="91"/>
      <c r="E28" s="9">
        <f>-E27*'Fane 5. Individuelt eff. krav'!G10</f>
        <v>0</v>
      </c>
      <c r="F28" s="14" t="s">
        <v>3</v>
      </c>
      <c r="G28" s="1"/>
    </row>
    <row r="29" spans="1:7" x14ac:dyDescent="0.45">
      <c r="A29" s="1"/>
      <c r="B29" s="89" t="s">
        <v>29</v>
      </c>
      <c r="C29" s="90"/>
      <c r="D29" s="91"/>
      <c r="E29" s="9">
        <f>-E27*'Fane 14. Nøgletal'!C27</f>
        <v>0</v>
      </c>
      <c r="F29" s="14" t="s">
        <v>3</v>
      </c>
      <c r="G29" s="1"/>
    </row>
    <row r="30" spans="1:7" x14ac:dyDescent="0.45">
      <c r="A30" s="1"/>
      <c r="B30" s="102" t="s">
        <v>221</v>
      </c>
      <c r="C30" s="103"/>
      <c r="D30" s="104"/>
      <c r="E30" s="12">
        <f>SUM(E27:E29)*(1+'Fane 14. Nøgletal'!C13)^5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nGo0BYQhfcRDCy1KsRJI6DPWLnNq/opW9ub4NlthJdB4ERODIw6ce9H2tu84DpT3G512SGQtStB4Zx9qWw5upg==" saltValue="pcW7lFuNTkwTz8Xt8+fIaA==" spinCount="100000" sheet="1" objects="1" scenarios="1"/>
  <mergeCells count="21">
    <mergeCell ref="B3:F5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4" style="2" customWidth="1"/>
    <col min="4" max="4" width="3.265625" style="2" customWidth="1"/>
    <col min="5" max="5" width="14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2" t="s">
        <v>222</v>
      </c>
      <c r="C3" s="92"/>
      <c r="D3" s="92"/>
      <c r="E3" s="92"/>
      <c r="F3" s="92"/>
      <c r="G3" s="1"/>
    </row>
    <row r="4" spans="1:7" ht="25.5" customHeight="1" x14ac:dyDescent="0.45">
      <c r="A4" s="1"/>
      <c r="B4" s="92"/>
      <c r="C4" s="92"/>
      <c r="D4" s="92"/>
      <c r="E4" s="92"/>
      <c r="F4" s="9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02" t="s">
        <v>223</v>
      </c>
      <c r="C8" s="103"/>
      <c r="D8" s="103"/>
      <c r="E8" s="103"/>
      <c r="F8" s="104"/>
      <c r="G8" s="1"/>
    </row>
    <row r="9" spans="1:7" ht="15" customHeight="1" x14ac:dyDescent="0.45">
      <c r="A9" s="1"/>
      <c r="B9" s="52" t="s">
        <v>224</v>
      </c>
      <c r="C9" s="77" t="s">
        <v>12</v>
      </c>
      <c r="D9" s="79"/>
      <c r="E9" s="120" t="s">
        <v>36</v>
      </c>
      <c r="F9" s="121"/>
      <c r="G9" s="1"/>
    </row>
    <row r="10" spans="1:7" x14ac:dyDescent="0.45">
      <c r="A10" s="1"/>
      <c r="B10" s="25" t="s">
        <v>274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1" t="s">
        <v>225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1" t="s">
        <v>226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yR2Zxq8f+Ixt9rdfcKCmoV49dvoQE/esR9tcVPbT/ZQ1BG1vFu3oKAlvfk/9MEVG6XVF+Uw0KyowXe3Z/qWxLw==" saltValue="qAF5YlTEJtf/9wRZYJ0Uw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2" t="s">
        <v>162</v>
      </c>
      <c r="C3" s="92"/>
      <c r="D3" s="92"/>
      <c r="E3" s="92"/>
      <c r="F3" s="92"/>
      <c r="G3" s="1"/>
    </row>
    <row r="4" spans="1:7" ht="25.5" customHeight="1" x14ac:dyDescent="0.45">
      <c r="A4" s="1"/>
      <c r="B4" s="92"/>
      <c r="C4" s="92"/>
      <c r="D4" s="92"/>
      <c r="E4" s="92"/>
      <c r="F4" s="9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02" t="s">
        <v>130</v>
      </c>
      <c r="C8" s="103"/>
      <c r="D8" s="103"/>
      <c r="E8" s="103"/>
      <c r="F8" s="104"/>
      <c r="G8" s="1"/>
    </row>
    <row r="9" spans="1:7" ht="15" customHeight="1" x14ac:dyDescent="0.45">
      <c r="A9" s="1"/>
      <c r="B9" s="52" t="s">
        <v>19</v>
      </c>
      <c r="C9" s="52" t="s">
        <v>12</v>
      </c>
      <c r="D9" s="53"/>
      <c r="E9" s="52" t="s">
        <v>36</v>
      </c>
      <c r="F9" s="53"/>
      <c r="G9" s="1"/>
    </row>
    <row r="10" spans="1:7" x14ac:dyDescent="0.45">
      <c r="A10" s="1"/>
      <c r="B10" s="25" t="s">
        <v>275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7" t="s">
        <v>50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37" t="s">
        <v>116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02" t="s">
        <v>129</v>
      </c>
      <c r="C14" s="103"/>
      <c r="D14" s="103"/>
      <c r="E14" s="103"/>
      <c r="F14" s="104"/>
      <c r="G14" s="1"/>
    </row>
    <row r="15" spans="1:7" x14ac:dyDescent="0.45">
      <c r="A15" s="1"/>
      <c r="B15" s="52" t="s">
        <v>19</v>
      </c>
      <c r="C15" s="52" t="s">
        <v>12</v>
      </c>
      <c r="D15" s="53"/>
      <c r="E15" s="52" t="s">
        <v>36</v>
      </c>
      <c r="F15" s="53"/>
      <c r="G15" s="1"/>
    </row>
    <row r="16" spans="1:7" x14ac:dyDescent="0.45">
      <c r="A16" s="1"/>
      <c r="B16" s="25" t="s">
        <v>275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45">
      <c r="A17" s="1"/>
      <c r="B17" s="37" t="s">
        <v>50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45">
      <c r="A18" s="1"/>
      <c r="B18" s="37" t="s">
        <v>117</v>
      </c>
      <c r="C18" s="12">
        <f>C17*(1+'Fane 14. Nøgletal'!C13)^2</f>
        <v>0</v>
      </c>
      <c r="D18" s="13" t="s">
        <v>3</v>
      </c>
      <c r="E18" s="12">
        <f>E17*(1+'Fane 14. Nøgletal'!C13)^2</f>
        <v>0</v>
      </c>
      <c r="F18" s="13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02" t="s">
        <v>131</v>
      </c>
      <c r="C20" s="103"/>
      <c r="D20" s="103"/>
      <c r="E20" s="103"/>
      <c r="F20" s="104"/>
      <c r="G20" s="1"/>
    </row>
    <row r="21" spans="1:7" x14ac:dyDescent="0.45">
      <c r="A21" s="1"/>
      <c r="B21" s="52" t="s">
        <v>19</v>
      </c>
      <c r="C21" s="52" t="s">
        <v>12</v>
      </c>
      <c r="D21" s="53"/>
      <c r="E21" s="52" t="s">
        <v>36</v>
      </c>
      <c r="F21" s="53"/>
      <c r="G21" s="1"/>
    </row>
    <row r="22" spans="1:7" x14ac:dyDescent="0.45">
      <c r="A22" s="1"/>
      <c r="B22" s="25" t="s">
        <v>275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45">
      <c r="A23" s="1"/>
      <c r="B23" s="37" t="s">
        <v>50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45">
      <c r="A24" s="1"/>
      <c r="B24" s="37" t="s">
        <v>118</v>
      </c>
      <c r="C24" s="12">
        <f>C23*(1+'Fane 14. Nøgletal'!C13)^3</f>
        <v>0</v>
      </c>
      <c r="D24" s="13" t="s">
        <v>3</v>
      </c>
      <c r="E24" s="12">
        <f>E23*(1+'Fane 14. Nøgletal'!C13)^3</f>
        <v>0</v>
      </c>
      <c r="F24" s="13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02" t="s">
        <v>227</v>
      </c>
      <c r="C26" s="103"/>
      <c r="D26" s="103"/>
      <c r="E26" s="103"/>
      <c r="F26" s="104"/>
      <c r="G26" s="1"/>
    </row>
    <row r="27" spans="1:7" x14ac:dyDescent="0.45">
      <c r="A27" s="1"/>
      <c r="B27" s="52" t="s">
        <v>19</v>
      </c>
      <c r="C27" s="52" t="s">
        <v>12</v>
      </c>
      <c r="D27" s="53"/>
      <c r="E27" s="52" t="s">
        <v>36</v>
      </c>
      <c r="F27" s="53"/>
      <c r="G27" s="1"/>
    </row>
    <row r="28" spans="1:7" x14ac:dyDescent="0.45">
      <c r="A28" s="1"/>
      <c r="B28" s="25" t="s">
        <v>275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45">
      <c r="A29" s="1"/>
      <c r="B29" s="37" t="s">
        <v>50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45">
      <c r="A30" s="1"/>
      <c r="B30" s="37" t="s">
        <v>228</v>
      </c>
      <c r="C30" s="12">
        <f>C29*(1+'Fane 14. Nøgletal'!C13)^4</f>
        <v>0</v>
      </c>
      <c r="D30" s="13" t="s">
        <v>3</v>
      </c>
      <c r="E30" s="12">
        <f>E29*(1+'Fane 14. Nøgletal'!C13)^4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Vd++I8sAYfp3cePOM5X7LYap/xWx5pOr+7NMRWHl4RWsr7FZdmfxS0zhJCTORtd4XaRMkoJJj4oqisIgqAeF0Q==" saltValue="Ou7/0RX2u8KyjlfxlWbIf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4.398437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92" t="s">
        <v>265</v>
      </c>
      <c r="C3" s="92"/>
      <c r="D3" s="1"/>
    </row>
    <row r="4" spans="1:4" ht="25.5" customHeight="1" x14ac:dyDescent="0.45">
      <c r="A4" s="1"/>
      <c r="B4" s="92"/>
      <c r="C4" s="92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37" t="s">
        <v>15</v>
      </c>
      <c r="C8" s="20"/>
      <c r="D8" s="1"/>
    </row>
    <row r="9" spans="1:4" x14ac:dyDescent="0.45">
      <c r="A9" s="1"/>
      <c r="B9" s="49" t="s">
        <v>168</v>
      </c>
      <c r="C9" s="26">
        <v>1.2699999999999999E-2</v>
      </c>
      <c r="D9" s="1"/>
    </row>
    <row r="10" spans="1:4" x14ac:dyDescent="0.45">
      <c r="A10" s="1"/>
      <c r="B10" s="49" t="s">
        <v>169</v>
      </c>
      <c r="C10" s="26">
        <v>1.7500000000000002E-2</v>
      </c>
      <c r="D10" s="1"/>
    </row>
    <row r="11" spans="1:4" x14ac:dyDescent="0.45">
      <c r="A11" s="1"/>
      <c r="B11" s="49" t="s">
        <v>24</v>
      </c>
      <c r="C11" s="26">
        <v>1.6899999999999998E-2</v>
      </c>
      <c r="D11" s="1"/>
    </row>
    <row r="12" spans="1:4" x14ac:dyDescent="0.45">
      <c r="A12" s="1"/>
      <c r="B12" s="31" t="s">
        <v>48</v>
      </c>
      <c r="C12" s="32">
        <v>1.9699999999999999E-2</v>
      </c>
      <c r="D12" s="1"/>
    </row>
    <row r="13" spans="1:4" x14ac:dyDescent="0.45">
      <c r="A13" s="1"/>
      <c r="B13" s="31" t="s">
        <v>229</v>
      </c>
      <c r="C13" s="32">
        <v>1.2200000000000001E-2</v>
      </c>
      <c r="D13" s="1"/>
    </row>
    <row r="14" spans="1:4" x14ac:dyDescent="0.45">
      <c r="A14" s="1"/>
      <c r="B14" s="37"/>
      <c r="C14" s="20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37" t="s">
        <v>150</v>
      </c>
      <c r="C17" s="20"/>
      <c r="D17" s="1"/>
    </row>
    <row r="18" spans="1:4" x14ac:dyDescent="0.45">
      <c r="A18" s="1"/>
      <c r="B18" s="49" t="s">
        <v>170</v>
      </c>
      <c r="C18" s="23">
        <v>9.1000000000000004E-3</v>
      </c>
      <c r="D18" s="1"/>
    </row>
    <row r="19" spans="1:4" x14ac:dyDescent="0.45">
      <c r="A19" s="1"/>
      <c r="B19" s="49" t="s">
        <v>172</v>
      </c>
      <c r="C19" s="23">
        <v>1.77E-2</v>
      </c>
      <c r="D19" s="1"/>
    </row>
    <row r="20" spans="1:4" x14ac:dyDescent="0.45">
      <c r="A20" s="1"/>
      <c r="B20" s="49" t="s">
        <v>171</v>
      </c>
      <c r="C20" s="23">
        <v>8.6999999999999994E-3</v>
      </c>
      <c r="D20" s="1"/>
    </row>
    <row r="21" spans="1:4" x14ac:dyDescent="0.45">
      <c r="A21" s="1"/>
      <c r="B21" s="49" t="s">
        <v>173</v>
      </c>
      <c r="C21" s="33">
        <v>2.8400000000000002E-2</v>
      </c>
      <c r="D21" s="1"/>
    </row>
    <row r="22" spans="1:4" x14ac:dyDescent="0.45">
      <c r="A22" s="1"/>
      <c r="B22" s="49" t="s">
        <v>230</v>
      </c>
      <c r="C22" s="33">
        <v>2.75E-2</v>
      </c>
      <c r="D22" s="1"/>
    </row>
    <row r="23" spans="1:4" x14ac:dyDescent="0.45">
      <c r="A23" s="1"/>
      <c r="B23" s="37"/>
      <c r="C23" s="20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37" t="s">
        <v>149</v>
      </c>
      <c r="C26" s="20"/>
      <c r="D26" s="1"/>
    </row>
    <row r="27" spans="1:4" x14ac:dyDescent="0.45">
      <c r="A27" s="1"/>
      <c r="B27" s="49" t="s">
        <v>174</v>
      </c>
      <c r="C27" s="26">
        <v>0.02</v>
      </c>
      <c r="D27" s="1"/>
    </row>
    <row r="28" spans="1:4" x14ac:dyDescent="0.45">
      <c r="A28" s="1"/>
      <c r="B28" s="37"/>
      <c r="C28" s="20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/tC0oIGP2IG2nlPTr6COnpyxIgUxZ4MtsJ6VAlJqnyNKTCyoDAUQG9oEjpfmCPb33/CXCMn3m6lvz1EOpM+mlg==" saltValue="0aWzbAohoJucIt+zoVXfYw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328125" defaultRowHeight="14.25" x14ac:dyDescent="0.45"/>
  <cols>
    <col min="1" max="1" width="6.59765625" style="2" customWidth="1"/>
    <col min="2" max="2" width="57.73046875" style="2" customWidth="1"/>
    <col min="3" max="3" width="12.265625" style="2" bestFit="1" customWidth="1"/>
    <col min="4" max="4" width="3.86328125" style="2" customWidth="1"/>
    <col min="5" max="5" width="6.2656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192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7" t="s">
        <v>14</v>
      </c>
      <c r="C8" s="38"/>
      <c r="D8" s="20"/>
      <c r="E8" s="1"/>
    </row>
    <row r="9" spans="1:5" x14ac:dyDescent="0.45">
      <c r="A9" s="1"/>
      <c r="B9" s="40" t="s">
        <v>27</v>
      </c>
      <c r="C9" s="7">
        <f>'Fane 3. Omkostninger i ØR2020'!E22</f>
        <v>52239646.6288682</v>
      </c>
      <c r="D9" s="8" t="s">
        <v>3</v>
      </c>
      <c r="E9" s="1"/>
    </row>
    <row r="10" spans="1:5" x14ac:dyDescent="0.45">
      <c r="A10" s="1"/>
      <c r="B10" s="50" t="s">
        <v>231</v>
      </c>
      <c r="C10" s="7">
        <f>'Fane 3. Omkostninger i ØR2020'!E10*(1+'Fane 14. Nøgletal'!C11)*(1-'Fane 14. Nøgletal'!C27-'Fane 5. Individuelt eff. krav'!G10)</f>
        <v>0</v>
      </c>
      <c r="D10" s="8" t="s">
        <v>3</v>
      </c>
      <c r="E10" s="1"/>
    </row>
    <row r="11" spans="1:5" x14ac:dyDescent="0.45">
      <c r="A11" s="1"/>
      <c r="B11" s="50" t="s">
        <v>232</v>
      </c>
      <c r="C11" s="7">
        <f>'Fane 3. Omkostninger i ØR2020'!E11*(1+'Fane 14. Nøgletal'!C11)*(1-'Fane 14. Nøgletal'!C20-'Fane 5. Individuelt eff. krav'!G10)</f>
        <v>270909.74989565229</v>
      </c>
      <c r="D11" s="8" t="s">
        <v>3</v>
      </c>
      <c r="E11" s="1"/>
    </row>
    <row r="12" spans="1:5" ht="17.100000000000001" customHeight="1" x14ac:dyDescent="0.45">
      <c r="A12" s="1"/>
      <c r="B12" s="50" t="s">
        <v>153</v>
      </c>
      <c r="C12" s="7">
        <f>SUM('Fane 3. Omkostninger i ØR2020'!E12,'Fane 3. Omkostninger i ØR2020'!E14,'Fane 3. Omkostninger i ØR2020'!E16)*(1-'Fane 14. Nøgletal'!C27-'Fane 5. Individuelt eff. krav'!G10)*(1+'Fane 14. Nøgletal'!C12)</f>
        <v>74251.932971277609</v>
      </c>
      <c r="D12" s="8" t="s">
        <v>3</v>
      </c>
      <c r="E12" s="1"/>
    </row>
    <row r="13" spans="1:5" ht="17.100000000000001" customHeight="1" x14ac:dyDescent="0.45">
      <c r="A13" s="1"/>
      <c r="B13" s="50" t="s">
        <v>154</v>
      </c>
      <c r="C13" s="7">
        <f>SUM('Fane 3. Omkostninger i ØR2020'!E13,'Fane 3. Omkostninger i ØR2020'!E15,'Fane 3. Omkostninger i ØR2020'!E17)*(1-'Fane 14. Nøgletal'!C21-'Fane 5. Individuelt eff. krav'!G10)*(1+'Fane 14. Nøgletal'!C12)</f>
        <v>356741.2116940401</v>
      </c>
      <c r="D13" s="8" t="s">
        <v>3</v>
      </c>
      <c r="E13" s="1"/>
    </row>
    <row r="14" spans="1:5" ht="17.100000000000001" customHeight="1" x14ac:dyDescent="0.45">
      <c r="A14" s="1"/>
      <c r="B14" s="42" t="s">
        <v>46</v>
      </c>
      <c r="C14" s="7">
        <f>'Fane 10.1. Varige tillæg'!C14</f>
        <v>121533.84179999999</v>
      </c>
      <c r="D14" s="8" t="s">
        <v>3</v>
      </c>
      <c r="E14" s="1"/>
    </row>
    <row r="15" spans="1:5" ht="17.100000000000001" customHeight="1" x14ac:dyDescent="0.45">
      <c r="A15" s="1"/>
      <c r="B15" s="42" t="s">
        <v>47</v>
      </c>
      <c r="C15" s="9">
        <f>'Fane 10.1. Varige tillæg'!E14</f>
        <v>703269.69124453992</v>
      </c>
      <c r="D15" s="8" t="s">
        <v>3</v>
      </c>
      <c r="E15" s="1"/>
    </row>
    <row r="16" spans="1:5" ht="17.100000000000001" customHeight="1" x14ac:dyDescent="0.45">
      <c r="A16" s="1"/>
      <c r="B16" s="42" t="s">
        <v>32</v>
      </c>
      <c r="C16" s="9">
        <f>-'Fane 13. Bortfald'!C12</f>
        <v>0</v>
      </c>
      <c r="D16" s="8" t="s">
        <v>3</v>
      </c>
      <c r="E16" s="1"/>
    </row>
    <row r="17" spans="1:5" ht="17.100000000000001" customHeight="1" x14ac:dyDescent="0.45">
      <c r="A17" s="1"/>
      <c r="B17" s="42" t="s">
        <v>31</v>
      </c>
      <c r="C17" s="9">
        <f>-'Fane 13. Bortfald'!E12</f>
        <v>0</v>
      </c>
      <c r="D17" s="8" t="s">
        <v>3</v>
      </c>
      <c r="E17" s="1"/>
    </row>
    <row r="18" spans="1:5" ht="17.100000000000001" customHeight="1" x14ac:dyDescent="0.45">
      <c r="A18" s="1"/>
      <c r="B18" s="42" t="s">
        <v>193</v>
      </c>
      <c r="C18" s="9">
        <f>'Fane 12. Tilknyttet virksomhed'!C12</f>
        <v>0</v>
      </c>
      <c r="D18" s="8" t="s">
        <v>3</v>
      </c>
      <c r="E18" s="1"/>
    </row>
    <row r="19" spans="1:5" ht="17.100000000000001" customHeight="1" x14ac:dyDescent="0.45">
      <c r="A19" s="1"/>
      <c r="B19" s="42" t="s">
        <v>194</v>
      </c>
      <c r="C19" s="9">
        <f>'Fane 12. Tilknyttet virksomhed'!E12</f>
        <v>0</v>
      </c>
      <c r="D19" s="8" t="s">
        <v>3</v>
      </c>
      <c r="E19" s="1"/>
    </row>
    <row r="20" spans="1:5" ht="17.100000000000001" customHeight="1" x14ac:dyDescent="0.45">
      <c r="A20" s="1"/>
      <c r="B20" s="42" t="s">
        <v>20</v>
      </c>
      <c r="C20" s="9">
        <f>(C9-SUM(C10:C13))*'Fane 14. Nøgletal'!C10+SUM(C10:C11)*'Fane 14. Nøgletal'!C11+SUM(C12:C13)*'Fane 14. Nøgletal'!C12+SUM(C14:C19)*'Fane 14. Nøgletal'!C13</f>
        <v>925042.05817666335</v>
      </c>
      <c r="D20" s="8" t="s">
        <v>3</v>
      </c>
      <c r="E20" s="1"/>
    </row>
    <row r="21" spans="1:5" ht="17.100000000000001" customHeight="1" x14ac:dyDescent="0.45">
      <c r="A21" s="1"/>
      <c r="B21" s="42" t="s">
        <v>10</v>
      </c>
      <c r="C21" s="9">
        <f>-SUM(C9,C14:C20)*'Fane 5. Individuelt eff. krav'!G10</f>
        <v>0</v>
      </c>
      <c r="D21" s="8" t="s">
        <v>3</v>
      </c>
      <c r="E21" s="1"/>
    </row>
    <row r="22" spans="1:5" ht="17.100000000000001" customHeight="1" x14ac:dyDescent="0.45">
      <c r="A22" s="1"/>
      <c r="B22" s="42" t="s">
        <v>29</v>
      </c>
      <c r="C22" s="9">
        <f>-'Fane 4.1. Gen. krav - drift'!G36</f>
        <v>-412682.18967415515</v>
      </c>
      <c r="D22" s="8" t="s">
        <v>3</v>
      </c>
      <c r="E22" s="1"/>
    </row>
    <row r="23" spans="1:5" ht="15" customHeight="1" x14ac:dyDescent="0.45">
      <c r="A23" s="1"/>
      <c r="B23" s="42" t="s">
        <v>30</v>
      </c>
      <c r="C23" s="9">
        <f>-'Fane 4.2. Gen. krav - anlæg'!G35</f>
        <v>-602033.94698738633</v>
      </c>
      <c r="D23" s="8" t="s">
        <v>3</v>
      </c>
      <c r="E23" s="1"/>
    </row>
    <row r="24" spans="1:5" ht="15" customHeight="1" x14ac:dyDescent="0.45">
      <c r="A24" s="1"/>
      <c r="B24" s="48" t="s">
        <v>22</v>
      </c>
      <c r="C24" s="10">
        <f>SUM(C9,C14:C23)</f>
        <v>52974776.083427869</v>
      </c>
      <c r="D24" s="11" t="s">
        <v>3</v>
      </c>
      <c r="E24" s="1"/>
    </row>
    <row r="25" spans="1:5" ht="15" customHeight="1" x14ac:dyDescent="0.45">
      <c r="A25" s="1"/>
      <c r="B25" s="37" t="s">
        <v>13</v>
      </c>
      <c r="C25" s="38"/>
      <c r="D25" s="20"/>
      <c r="E25" s="1"/>
    </row>
    <row r="26" spans="1:5" ht="15" customHeight="1" x14ac:dyDescent="0.45">
      <c r="A26" s="1"/>
      <c r="B26" s="52" t="s">
        <v>13</v>
      </c>
      <c r="C26" s="10">
        <f>'Fane 6. Ikke-påvirkelige omk.'!C15+'Fane 6. Ikke-påvirkelige omk.'!C19+'Fane 6. Ikke-påvirkelige omk.'!C27</f>
        <v>9638903.4871336408</v>
      </c>
      <c r="D26" s="11" t="s">
        <v>3</v>
      </c>
      <c r="E26" s="1"/>
    </row>
    <row r="27" spans="1:5" ht="15" customHeight="1" x14ac:dyDescent="0.45">
      <c r="A27" s="1"/>
      <c r="B27" s="37" t="s">
        <v>111</v>
      </c>
      <c r="C27" s="38"/>
      <c r="D27" s="20"/>
      <c r="E27" s="1"/>
    </row>
    <row r="28" spans="1:5" ht="15" customHeight="1" x14ac:dyDescent="0.45">
      <c r="A28" s="1"/>
      <c r="B28" s="48" t="s">
        <v>111</v>
      </c>
      <c r="C28" s="10">
        <f>'Fane 11. Periodevise driftsomk.'!E12</f>
        <v>0</v>
      </c>
      <c r="D28" s="11" t="s">
        <v>3</v>
      </c>
      <c r="E28" s="1"/>
    </row>
    <row r="29" spans="1:5" ht="15" customHeight="1" x14ac:dyDescent="0.45">
      <c r="A29" s="1"/>
      <c r="B29" s="37" t="s">
        <v>110</v>
      </c>
      <c r="C29" s="38"/>
      <c r="D29" s="20"/>
      <c r="E29" s="1"/>
    </row>
    <row r="30" spans="1:5" x14ac:dyDescent="0.45">
      <c r="A30" s="1"/>
      <c r="B30" s="42" t="s">
        <v>106</v>
      </c>
      <c r="C30" s="9">
        <f>'Fane 10.2. Engangstillæg'!C14</f>
        <v>924740.30418078951</v>
      </c>
      <c r="D30" s="8" t="s">
        <v>3</v>
      </c>
      <c r="E30" s="1"/>
    </row>
    <row r="31" spans="1:5" ht="15" customHeight="1" x14ac:dyDescent="0.45">
      <c r="A31" s="1"/>
      <c r="B31" s="42" t="s">
        <v>107</v>
      </c>
      <c r="C31" s="9">
        <f>'Fane 10.2. Engangstillæg'!E14</f>
        <v>0</v>
      </c>
      <c r="D31" s="8" t="s">
        <v>3</v>
      </c>
      <c r="E31" s="1"/>
    </row>
    <row r="32" spans="1:5" x14ac:dyDescent="0.45">
      <c r="A32" s="1"/>
      <c r="B32" s="48" t="s">
        <v>112</v>
      </c>
      <c r="C32" s="10">
        <f>SUM(C30:C31)</f>
        <v>924740.30418078951</v>
      </c>
      <c r="D32" s="11" t="s">
        <v>3</v>
      </c>
      <c r="E32" s="1"/>
    </row>
    <row r="33" spans="1:5" x14ac:dyDescent="0.45">
      <c r="A33" s="1"/>
      <c r="B33" s="37" t="s">
        <v>191</v>
      </c>
      <c r="C33" s="38"/>
      <c r="D33" s="20"/>
      <c r="E33" s="1"/>
    </row>
    <row r="34" spans="1:5" x14ac:dyDescent="0.45">
      <c r="A34" s="1"/>
      <c r="B34" s="52" t="s">
        <v>191</v>
      </c>
      <c r="C34" s="10">
        <f>'Fane 8. Korrektion af ØR2019'!E17</f>
        <v>-596009</v>
      </c>
      <c r="D34" s="11" t="s">
        <v>3</v>
      </c>
      <c r="E34" s="1"/>
    </row>
    <row r="35" spans="1:5" x14ac:dyDescent="0.45">
      <c r="A35" s="1"/>
      <c r="B35" s="37" t="s">
        <v>33</v>
      </c>
      <c r="C35" s="12">
        <f>SUM(C24,C26,C28,C32,C34)</f>
        <v>62942410.874742299</v>
      </c>
      <c r="D35" s="13" t="s">
        <v>3</v>
      </c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</sheetData>
  <sheetProtection algorithmName="SHA-512" hashValue="osdvU5aXIBVW68P5Ufnx3NNBs12Dia/426h+uDJsllHz26d0l50RY9S2quN1zasuRMuzeoy1c4XBicGJ7LNcHg==" saltValue="m58xqY701N7VdQULKKSFQ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73046875" style="2" customWidth="1"/>
    <col min="3" max="3" width="10.86328125" style="2" bestFit="1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195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73" t="s">
        <v>23</v>
      </c>
      <c r="C5" s="73"/>
      <c r="D5" s="73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7" t="s">
        <v>14</v>
      </c>
      <c r="C8" s="38"/>
      <c r="D8" s="20"/>
      <c r="E8" s="1"/>
    </row>
    <row r="9" spans="1:5" ht="15" customHeight="1" x14ac:dyDescent="0.45">
      <c r="A9" s="1"/>
      <c r="B9" s="40" t="s">
        <v>28</v>
      </c>
      <c r="C9" s="7">
        <f>'Fane 2.1. Økonomisk ramme 2021'!C24</f>
        <v>52974776.083427869</v>
      </c>
      <c r="D9" s="8" t="s">
        <v>3</v>
      </c>
      <c r="E9" s="1"/>
    </row>
    <row r="10" spans="1:5" ht="15" customHeight="1" x14ac:dyDescent="0.45">
      <c r="A10" s="1"/>
      <c r="B10" s="42" t="s">
        <v>32</v>
      </c>
      <c r="C10" s="7">
        <f>-'Fane 13. Bortfald'!C18</f>
        <v>0</v>
      </c>
      <c r="D10" s="8" t="s">
        <v>3</v>
      </c>
      <c r="E10" s="1"/>
    </row>
    <row r="11" spans="1:5" ht="15" customHeight="1" x14ac:dyDescent="0.45">
      <c r="A11" s="1"/>
      <c r="B11" s="42" t="s">
        <v>31</v>
      </c>
      <c r="C11" s="7">
        <f>-'Fane 13. Bortfald'!E18</f>
        <v>0</v>
      </c>
      <c r="D11" s="8" t="s">
        <v>3</v>
      </c>
      <c r="E11" s="1"/>
    </row>
    <row r="12" spans="1:5" ht="15" customHeight="1" x14ac:dyDescent="0.45">
      <c r="A12" s="1"/>
      <c r="B12" s="41" t="s">
        <v>20</v>
      </c>
      <c r="C12" s="9">
        <f>SUM(C9:C11)*'Fane 14. Nøgletal'!C13</f>
        <v>646292.26821782009</v>
      </c>
      <c r="D12" s="8" t="s">
        <v>3</v>
      </c>
      <c r="E12" s="1"/>
    </row>
    <row r="13" spans="1:5" ht="15" customHeight="1" x14ac:dyDescent="0.45">
      <c r="A13" s="1"/>
      <c r="B13" s="41" t="s">
        <v>10</v>
      </c>
      <c r="C13" s="9">
        <f>-SUM(C9:C12)*'Fane 5. Individuelt eff. krav'!G10</f>
        <v>0</v>
      </c>
      <c r="D13" s="8" t="s">
        <v>3</v>
      </c>
      <c r="E13" s="1"/>
    </row>
    <row r="14" spans="1:5" ht="15" customHeight="1" x14ac:dyDescent="0.45">
      <c r="A14" s="1"/>
      <c r="B14" s="41" t="s">
        <v>29</v>
      </c>
      <c r="C14" s="9">
        <f>-'Fane 4.1. Gen. krav - drift'!G42</f>
        <v>-409362.57414041623</v>
      </c>
      <c r="D14" s="8" t="s">
        <v>3</v>
      </c>
      <c r="E14" s="1"/>
    </row>
    <row r="15" spans="1:5" ht="15" customHeight="1" x14ac:dyDescent="0.45">
      <c r="A15" s="1"/>
      <c r="B15" s="41" t="s">
        <v>30</v>
      </c>
      <c r="C15" s="9">
        <f>-'Fane 4.2. Gen. krav - anlæg'!G41</f>
        <v>-916824.13026826642</v>
      </c>
      <c r="D15" s="8" t="s">
        <v>3</v>
      </c>
      <c r="E15" s="1"/>
    </row>
    <row r="16" spans="1:5" ht="15" customHeight="1" x14ac:dyDescent="0.45">
      <c r="A16" s="1"/>
      <c r="B16" s="45" t="s">
        <v>22</v>
      </c>
      <c r="C16" s="10">
        <f>SUM(C9:C15)</f>
        <v>52294881.647237003</v>
      </c>
      <c r="D16" s="11" t="s">
        <v>3</v>
      </c>
      <c r="E16" s="1"/>
    </row>
    <row r="17" spans="1:5" ht="15" customHeight="1" x14ac:dyDescent="0.45">
      <c r="A17" s="1"/>
      <c r="B17" s="37" t="s">
        <v>13</v>
      </c>
      <c r="C17" s="38"/>
      <c r="D17" s="20"/>
      <c r="E17" s="1"/>
    </row>
    <row r="18" spans="1:5" ht="15" customHeight="1" x14ac:dyDescent="0.45">
      <c r="A18" s="1"/>
      <c r="B18" s="52" t="s">
        <v>13</v>
      </c>
      <c r="C18" s="10">
        <f>'Fane 6. Ikke-påvirkelige omk.'!C15*(1+'Fane 14. Nøgletal'!C13)+'Fane 6. Ikke-påvirkelige omk.'!C20+'Fane 6. Ikke-påvirkelige omk.'!C28</f>
        <v>9749226.7998766713</v>
      </c>
      <c r="D18" s="11" t="s">
        <v>3</v>
      </c>
      <c r="E18" s="1"/>
    </row>
    <row r="19" spans="1:5" ht="15" customHeight="1" x14ac:dyDescent="0.45">
      <c r="A19" s="1"/>
      <c r="B19" s="37" t="s">
        <v>111</v>
      </c>
      <c r="C19" s="38"/>
      <c r="D19" s="20"/>
      <c r="E19" s="1"/>
    </row>
    <row r="20" spans="1:5" ht="15" customHeight="1" x14ac:dyDescent="0.45">
      <c r="A20" s="1"/>
      <c r="B20" s="48" t="s">
        <v>111</v>
      </c>
      <c r="C20" s="10">
        <f>'Fane 11. Periodevise driftsomk.'!E18</f>
        <v>0</v>
      </c>
      <c r="D20" s="11" t="s">
        <v>3</v>
      </c>
      <c r="E20" s="1"/>
    </row>
    <row r="21" spans="1:5" x14ac:dyDescent="0.45">
      <c r="A21" s="1"/>
      <c r="B21" s="37" t="s">
        <v>110</v>
      </c>
      <c r="C21" s="38"/>
      <c r="D21" s="20"/>
      <c r="E21" s="1"/>
    </row>
    <row r="22" spans="1:5" ht="15" customHeight="1" x14ac:dyDescent="0.45">
      <c r="A22" s="1"/>
      <c r="B22" s="42" t="s">
        <v>106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45">
      <c r="A23" s="1"/>
      <c r="B23" s="42" t="s">
        <v>107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45">
      <c r="A24" s="1"/>
      <c r="B24" s="48" t="s">
        <v>112</v>
      </c>
      <c r="C24" s="10">
        <f>SUM(C22:C23)</f>
        <v>0</v>
      </c>
      <c r="D24" s="11" t="s">
        <v>3</v>
      </c>
      <c r="E24" s="1"/>
    </row>
    <row r="25" spans="1:5" ht="15" customHeight="1" x14ac:dyDescent="0.45">
      <c r="A25" s="1"/>
      <c r="B25" s="37" t="s">
        <v>261</v>
      </c>
      <c r="C25" s="38"/>
      <c r="D25" s="20"/>
      <c r="E25" s="1"/>
    </row>
    <row r="26" spans="1:5" ht="15" customHeight="1" x14ac:dyDescent="0.45">
      <c r="A26" s="1"/>
      <c r="B26" s="52" t="s">
        <v>249</v>
      </c>
      <c r="C26" s="10">
        <f>'Fane 7. Kontrol af ØR2019'!E35</f>
        <v>-4250146.0362336747</v>
      </c>
      <c r="D26" s="11" t="s">
        <v>3</v>
      </c>
      <c r="E26" s="1"/>
    </row>
    <row r="27" spans="1:5" ht="15" customHeight="1" x14ac:dyDescent="0.45">
      <c r="A27" s="1"/>
      <c r="B27" s="37" t="s">
        <v>34</v>
      </c>
      <c r="C27" s="12">
        <f>SUM(C16,C18,C20,C24,C26)</f>
        <v>57793962.410879999</v>
      </c>
      <c r="D27" s="13" t="s">
        <v>3</v>
      </c>
      <c r="E27" s="1"/>
    </row>
    <row r="28" spans="1:5" ht="15" customHeight="1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d/T6039QEi6Cw5Za3L2VY7TzgrynulJ7PzWAJcNXX5zNM2eeZUlGgymkkWHEg/3uLkU91wYydRKI4sKM4d8syg==" saltValue="sOcF/jcrBKHu2kovNBr3u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" style="2" customWidth="1"/>
    <col min="3" max="3" width="10.86328125" style="2" bestFit="1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196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73" t="s">
        <v>23</v>
      </c>
      <c r="C5" s="73"/>
      <c r="D5" s="73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37" t="s">
        <v>14</v>
      </c>
      <c r="C7" s="38"/>
      <c r="D7" s="20"/>
      <c r="E7" s="1"/>
    </row>
    <row r="8" spans="1:5" ht="15" customHeight="1" x14ac:dyDescent="0.45">
      <c r="A8" s="1"/>
      <c r="B8" s="40" t="s">
        <v>155</v>
      </c>
      <c r="C8" s="7">
        <f>'Fane 2.2. Økonomisk ramme 2022'!C16</f>
        <v>52294881.647237003</v>
      </c>
      <c r="D8" s="8" t="s">
        <v>3</v>
      </c>
      <c r="E8" s="1"/>
    </row>
    <row r="9" spans="1:5" ht="15" customHeight="1" x14ac:dyDescent="0.45">
      <c r="A9" s="1"/>
      <c r="B9" s="40" t="s">
        <v>32</v>
      </c>
      <c r="C9" s="7">
        <f>-'Fane 13. Bortfald'!C24</f>
        <v>0</v>
      </c>
      <c r="D9" s="8" t="s">
        <v>3</v>
      </c>
      <c r="E9" s="1"/>
    </row>
    <row r="10" spans="1:5" ht="15" customHeight="1" x14ac:dyDescent="0.45">
      <c r="A10" s="1"/>
      <c r="B10" s="40" t="s">
        <v>31</v>
      </c>
      <c r="C10" s="7">
        <f>-'Fane 13. Bortfald'!E24</f>
        <v>0</v>
      </c>
      <c r="D10" s="8" t="s">
        <v>3</v>
      </c>
      <c r="E10" s="1"/>
    </row>
    <row r="11" spans="1:5" ht="15" customHeight="1" x14ac:dyDescent="0.45">
      <c r="A11" s="1"/>
      <c r="B11" s="41" t="s">
        <v>20</v>
      </c>
      <c r="C11" s="9">
        <f>SUM(C8:C10)*'Fane 14. Nøgletal'!C13</f>
        <v>637997.55609629152</v>
      </c>
      <c r="D11" s="8" t="s">
        <v>3</v>
      </c>
      <c r="E11" s="1"/>
    </row>
    <row r="12" spans="1:5" ht="15" customHeight="1" x14ac:dyDescent="0.45">
      <c r="A12" s="1"/>
      <c r="B12" s="41" t="s">
        <v>10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45">
      <c r="A13" s="1"/>
      <c r="B13" s="41" t="s">
        <v>29</v>
      </c>
      <c r="C13" s="9">
        <f>-'Fane 4.1. Gen. krav - drift'!G48</f>
        <v>-406069.6615940308</v>
      </c>
      <c r="D13" s="8" t="s">
        <v>3</v>
      </c>
      <c r="E13" s="1"/>
    </row>
    <row r="14" spans="1:5" ht="15" customHeight="1" x14ac:dyDescent="0.45">
      <c r="A14" s="1"/>
      <c r="B14" s="41" t="s">
        <v>30</v>
      </c>
      <c r="C14" s="9">
        <f>-'Fane 4.2. Gen. krav - anlæg'!G47</f>
        <v>-902489.12657945696</v>
      </c>
      <c r="D14" s="8" t="s">
        <v>3</v>
      </c>
      <c r="E14" s="1"/>
    </row>
    <row r="15" spans="1:5" x14ac:dyDescent="0.45">
      <c r="A15" s="1"/>
      <c r="B15" s="45" t="s">
        <v>22</v>
      </c>
      <c r="C15" s="10">
        <f>SUM(C8:C14)</f>
        <v>51624320.415159807</v>
      </c>
      <c r="D15" s="11" t="s">
        <v>3</v>
      </c>
      <c r="E15" s="1"/>
    </row>
    <row r="16" spans="1:5" x14ac:dyDescent="0.45">
      <c r="A16" s="1"/>
      <c r="B16" s="37" t="s">
        <v>13</v>
      </c>
      <c r="C16" s="38"/>
      <c r="D16" s="20"/>
      <c r="E16" s="1"/>
    </row>
    <row r="17" spans="1:5" ht="15" customHeight="1" x14ac:dyDescent="0.45">
      <c r="A17" s="1"/>
      <c r="B17" s="52" t="s">
        <v>13</v>
      </c>
      <c r="C17" s="10">
        <f>'Fane 6. Ikke-påvirkelige omk.'!C15*(1+'Fane 14. Nøgletal'!C13)^2+'Fane 6. Ikke-påvirkelige omk.'!C21+'Fane 6. Ikke-påvirkelige omk.'!C29</f>
        <v>9860896.0570351668</v>
      </c>
      <c r="D17" s="11" t="s">
        <v>3</v>
      </c>
      <c r="E17" s="1"/>
    </row>
    <row r="18" spans="1:5" ht="15" customHeight="1" x14ac:dyDescent="0.45">
      <c r="A18" s="1"/>
      <c r="B18" s="37" t="s">
        <v>111</v>
      </c>
      <c r="C18" s="38"/>
      <c r="D18" s="20"/>
      <c r="E18" s="1"/>
    </row>
    <row r="19" spans="1:5" ht="15" customHeight="1" x14ac:dyDescent="0.45">
      <c r="A19" s="1"/>
      <c r="B19" s="48" t="s">
        <v>111</v>
      </c>
      <c r="C19" s="10">
        <f>'Fane 11. Periodevise driftsomk.'!E24</f>
        <v>0</v>
      </c>
      <c r="D19" s="11" t="s">
        <v>3</v>
      </c>
      <c r="E19" s="1"/>
    </row>
    <row r="20" spans="1:5" ht="15" customHeight="1" x14ac:dyDescent="0.45">
      <c r="A20" s="1"/>
      <c r="B20" s="37" t="s">
        <v>110</v>
      </c>
      <c r="C20" s="38"/>
      <c r="D20" s="20"/>
      <c r="E20" s="1"/>
    </row>
    <row r="21" spans="1:5" ht="15" customHeight="1" x14ac:dyDescent="0.45">
      <c r="A21" s="1"/>
      <c r="B21" s="42" t="s">
        <v>106</v>
      </c>
      <c r="C21" s="9">
        <f>'Fane 10.2. Engangstillæg'!C30</f>
        <v>0</v>
      </c>
      <c r="D21" s="8" t="s">
        <v>3</v>
      </c>
      <c r="E21" s="1"/>
    </row>
    <row r="22" spans="1:5" ht="15" customHeight="1" x14ac:dyDescent="0.45">
      <c r="A22" s="1"/>
      <c r="B22" s="42" t="s">
        <v>107</v>
      </c>
      <c r="C22" s="9">
        <f>'Fane 10.2. Engangstillæg'!E30</f>
        <v>0</v>
      </c>
      <c r="D22" s="8" t="s">
        <v>3</v>
      </c>
      <c r="E22" s="1"/>
    </row>
    <row r="23" spans="1:5" ht="15" customHeight="1" x14ac:dyDescent="0.45">
      <c r="A23" s="1"/>
      <c r="B23" s="48" t="s">
        <v>112</v>
      </c>
      <c r="C23" s="10">
        <f>SUM(C21:C22)</f>
        <v>0</v>
      </c>
      <c r="D23" s="11" t="s">
        <v>3</v>
      </c>
      <c r="E23" s="1"/>
    </row>
    <row r="24" spans="1:5" ht="15" customHeight="1" x14ac:dyDescent="0.45">
      <c r="A24" s="1"/>
      <c r="B24" s="37" t="s">
        <v>132</v>
      </c>
      <c r="C24" s="38"/>
      <c r="D24" s="20"/>
      <c r="E24" s="1"/>
    </row>
    <row r="25" spans="1:5" ht="15" customHeight="1" x14ac:dyDescent="0.45">
      <c r="A25" s="1"/>
      <c r="B25" s="52" t="s">
        <v>249</v>
      </c>
      <c r="C25" s="10">
        <f>'Fane 7. Kontrol af ØR2019'!E35</f>
        <v>-4250146.0362336747</v>
      </c>
      <c r="D25" s="11" t="s">
        <v>3</v>
      </c>
      <c r="E25" s="1"/>
    </row>
    <row r="26" spans="1:5" x14ac:dyDescent="0.45">
      <c r="A26" s="1"/>
      <c r="B26" s="37" t="s">
        <v>121</v>
      </c>
      <c r="C26" s="12">
        <f>SUM(C15,C17,C19,C23,C25)</f>
        <v>57235070.435961291</v>
      </c>
      <c r="D26" s="13" t="s">
        <v>3</v>
      </c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R/pvQOUyS5vSln3JzPfWT9qTUIpQT3e8U+Qtk/oQPR/AcAf05i0c+y7MWRnShfbo6K9kUbETAEZpcsrATnF4QQ==" saltValue="9RObR4liWVSLbq6tnBequ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86328125" style="2" customWidth="1"/>
    <col min="3" max="3" width="10.86328125" style="2" bestFit="1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197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73" t="s">
        <v>23</v>
      </c>
      <c r="C5" s="73"/>
      <c r="D5" s="73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37" t="s">
        <v>14</v>
      </c>
      <c r="C7" s="38"/>
      <c r="D7" s="20"/>
      <c r="E7" s="1"/>
    </row>
    <row r="8" spans="1:5" ht="15" customHeight="1" x14ac:dyDescent="0.45">
      <c r="A8" s="1"/>
      <c r="B8" s="40" t="s">
        <v>198</v>
      </c>
      <c r="C8" s="7">
        <f>'Fane 2.3. Økonomisk ramme 2023'!C15</f>
        <v>51624320.415159807</v>
      </c>
      <c r="D8" s="8" t="s">
        <v>3</v>
      </c>
      <c r="E8" s="1"/>
    </row>
    <row r="9" spans="1:5" ht="15" customHeight="1" x14ac:dyDescent="0.45">
      <c r="A9" s="1"/>
      <c r="B9" s="40" t="s">
        <v>32</v>
      </c>
      <c r="C9" s="7">
        <f>-'Fane 13. Bortfald'!C30</f>
        <v>0</v>
      </c>
      <c r="D9" s="8" t="s">
        <v>3</v>
      </c>
      <c r="E9" s="1"/>
    </row>
    <row r="10" spans="1:5" ht="15" customHeight="1" x14ac:dyDescent="0.45">
      <c r="A10" s="1"/>
      <c r="B10" s="40" t="s">
        <v>31</v>
      </c>
      <c r="C10" s="7">
        <f>-'Fane 13. Bortfald'!E30</f>
        <v>0</v>
      </c>
      <c r="D10" s="8" t="s">
        <v>3</v>
      </c>
      <c r="E10" s="1"/>
    </row>
    <row r="11" spans="1:5" ht="15" customHeight="1" x14ac:dyDescent="0.45">
      <c r="A11" s="1"/>
      <c r="B11" s="41" t="s">
        <v>20</v>
      </c>
      <c r="C11" s="9">
        <f>SUM(C8:C10)*'Fane 14. Nøgletal'!C13</f>
        <v>629816.70906494965</v>
      </c>
      <c r="D11" s="8" t="s">
        <v>3</v>
      </c>
      <c r="E11" s="1"/>
    </row>
    <row r="12" spans="1:5" ht="15" customHeight="1" x14ac:dyDescent="0.45">
      <c r="A12" s="1"/>
      <c r="B12" s="41" t="s">
        <v>10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45">
      <c r="A13" s="1"/>
      <c r="B13" s="41" t="s">
        <v>29</v>
      </c>
      <c r="C13" s="9">
        <f>-'Fane 4.1. Gen. krav - drift'!G55</f>
        <v>-402803.23723616841</v>
      </c>
      <c r="D13" s="8" t="s">
        <v>3</v>
      </c>
      <c r="E13" s="1"/>
    </row>
    <row r="14" spans="1:5" ht="15" customHeight="1" x14ac:dyDescent="0.45">
      <c r="A14" s="1"/>
      <c r="B14" s="41" t="s">
        <v>30</v>
      </c>
      <c r="C14" s="9">
        <f>-'Fane 4.2. Gen. krav - anlæg'!G54</f>
        <v>-888378.25784082385</v>
      </c>
      <c r="D14" s="8" t="s">
        <v>3</v>
      </c>
      <c r="E14" s="1"/>
    </row>
    <row r="15" spans="1:5" x14ac:dyDescent="0.45">
      <c r="A15" s="1"/>
      <c r="B15" s="45" t="s">
        <v>22</v>
      </c>
      <c r="C15" s="10">
        <f>SUM(C8:C14)</f>
        <v>50962955.629147761</v>
      </c>
      <c r="D15" s="11" t="s">
        <v>3</v>
      </c>
      <c r="E15" s="1"/>
    </row>
    <row r="16" spans="1:5" x14ac:dyDescent="0.45">
      <c r="A16" s="1"/>
      <c r="B16" s="37" t="s">
        <v>13</v>
      </c>
      <c r="C16" s="38"/>
      <c r="D16" s="20"/>
      <c r="E16" s="1"/>
    </row>
    <row r="17" spans="1:5" ht="15" customHeight="1" x14ac:dyDescent="0.45">
      <c r="A17" s="1"/>
      <c r="B17" s="52" t="s">
        <v>13</v>
      </c>
      <c r="C17" s="10">
        <f>'Fane 6. Ikke-påvirkelige omk.'!C15*(1+'Fane 14. Nøgletal'!C13)^3+'Fane 6. Ikke-påvirkelige omk.'!C22+'Fane 6. Ikke-påvirkelige omk.'!C30</f>
        <v>9973927.6791309956</v>
      </c>
      <c r="D17" s="11" t="s">
        <v>3</v>
      </c>
      <c r="E17" s="1"/>
    </row>
    <row r="18" spans="1:5" ht="15" customHeight="1" x14ac:dyDescent="0.45">
      <c r="A18" s="1"/>
      <c r="B18" s="37" t="s">
        <v>111</v>
      </c>
      <c r="C18" s="38"/>
      <c r="D18" s="20"/>
      <c r="E18" s="1"/>
    </row>
    <row r="19" spans="1:5" ht="15" customHeight="1" x14ac:dyDescent="0.45">
      <c r="A19" s="1"/>
      <c r="B19" s="48" t="s">
        <v>111</v>
      </c>
      <c r="C19" s="10">
        <f>'Fane 11. Periodevise driftsomk.'!E30</f>
        <v>0</v>
      </c>
      <c r="D19" s="11" t="s">
        <v>3</v>
      </c>
      <c r="E19" s="1"/>
    </row>
    <row r="20" spans="1:5" ht="15" customHeight="1" x14ac:dyDescent="0.45">
      <c r="A20" s="1"/>
      <c r="B20" s="37" t="s">
        <v>110</v>
      </c>
      <c r="C20" s="38"/>
      <c r="D20" s="20"/>
      <c r="E20" s="1"/>
    </row>
    <row r="21" spans="1:5" ht="15" customHeight="1" x14ac:dyDescent="0.45">
      <c r="A21" s="1"/>
      <c r="B21" s="42" t="s">
        <v>106</v>
      </c>
      <c r="C21" s="9">
        <f>'Fane 10.2. Engangstillæg'!C38</f>
        <v>0</v>
      </c>
      <c r="D21" s="8" t="s">
        <v>3</v>
      </c>
      <c r="E21" s="1"/>
    </row>
    <row r="22" spans="1:5" ht="15" customHeight="1" x14ac:dyDescent="0.45">
      <c r="A22" s="1"/>
      <c r="B22" s="42" t="s">
        <v>107</v>
      </c>
      <c r="C22" s="9">
        <f>'Fane 10.2. Engangstillæg'!E38</f>
        <v>0</v>
      </c>
      <c r="D22" s="8" t="s">
        <v>3</v>
      </c>
      <c r="E22" s="1"/>
    </row>
    <row r="23" spans="1:5" ht="15" customHeight="1" x14ac:dyDescent="0.45">
      <c r="A23" s="1"/>
      <c r="B23" s="48" t="s">
        <v>112</v>
      </c>
      <c r="C23" s="10">
        <f>SUM(C21:C22)</f>
        <v>0</v>
      </c>
      <c r="D23" s="11" t="s">
        <v>3</v>
      </c>
      <c r="E23" s="1"/>
    </row>
    <row r="24" spans="1:5" ht="15" customHeight="1" x14ac:dyDescent="0.45">
      <c r="A24" s="1"/>
      <c r="B24" s="37" t="s">
        <v>199</v>
      </c>
      <c r="C24" s="12">
        <f>SUM(C15,C17,C19,C23)</f>
        <v>60936883.308278754</v>
      </c>
      <c r="D24" s="13" t="s">
        <v>3</v>
      </c>
      <c r="E24" s="1"/>
    </row>
    <row r="25" spans="1:5" ht="15" customHeight="1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NixR4kwtBAoCgPFsu4eSB9belfuD+hHsfgPXwJyzyM08VjZ2fXB/lG87h9eUY5OZodIHdq/V8xgWu1lc0zWDFg==" saltValue="EpnE6+s7gh/kEya9H/iDU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1"/>
  <sheetViews>
    <sheetView showGridLines="0" view="pageLayout" zoomScaleNormal="100" workbookViewId="0"/>
  </sheetViews>
  <sheetFormatPr defaultColWidth="9" defaultRowHeight="14.25" x14ac:dyDescent="0.45"/>
  <cols>
    <col min="1" max="1" width="7.86328125" style="2" customWidth="1"/>
    <col min="2" max="2" width="12.1328125" style="2" customWidth="1"/>
    <col min="3" max="3" width="12" style="2" customWidth="1"/>
    <col min="4" max="4" width="31.73046875" style="2" customWidth="1"/>
    <col min="5" max="5" width="10.86328125" style="2" bestFit="1" customWidth="1"/>
    <col min="6" max="6" width="3.59765625" style="2" bestFit="1" customWidth="1"/>
    <col min="7" max="7" width="7.863281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2" t="s">
        <v>200</v>
      </c>
      <c r="C3" s="92"/>
      <c r="D3" s="92"/>
      <c r="E3" s="92"/>
      <c r="F3" s="92"/>
      <c r="G3" s="1"/>
    </row>
    <row r="4" spans="1:7" ht="29.25" customHeight="1" x14ac:dyDescent="0.45">
      <c r="A4" s="1"/>
      <c r="B4" s="92"/>
      <c r="C4" s="92"/>
      <c r="D4" s="92"/>
      <c r="E4" s="92"/>
      <c r="F4" s="9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7" t="s">
        <v>201</v>
      </c>
      <c r="C8" s="38"/>
      <c r="D8" s="38"/>
      <c r="E8" s="38"/>
      <c r="F8" s="20"/>
      <c r="G8" s="1"/>
    </row>
    <row r="9" spans="1:7" x14ac:dyDescent="0.45">
      <c r="A9" s="1"/>
      <c r="B9" s="93" t="s">
        <v>25</v>
      </c>
      <c r="C9" s="94"/>
      <c r="D9" s="95"/>
      <c r="E9" s="7">
        <v>51883134.060809635</v>
      </c>
      <c r="F9" s="8" t="s">
        <v>3</v>
      </c>
      <c r="G9" s="1"/>
    </row>
    <row r="10" spans="1:7" x14ac:dyDescent="0.45">
      <c r="A10" s="1"/>
      <c r="B10" s="89" t="s">
        <v>233</v>
      </c>
      <c r="C10" s="90"/>
      <c r="D10" s="91"/>
      <c r="E10" s="7">
        <v>0</v>
      </c>
      <c r="F10" s="8" t="s">
        <v>3</v>
      </c>
      <c r="G10" s="1"/>
    </row>
    <row r="11" spans="1:7" x14ac:dyDescent="0.45">
      <c r="A11" s="1"/>
      <c r="B11" s="89" t="s">
        <v>234</v>
      </c>
      <c r="C11" s="90"/>
      <c r="D11" s="91"/>
      <c r="E11" s="7">
        <v>268745.55004351836</v>
      </c>
      <c r="F11" s="8" t="s">
        <v>3</v>
      </c>
      <c r="G11" s="1"/>
    </row>
    <row r="12" spans="1:7" x14ac:dyDescent="0.45">
      <c r="A12" s="1"/>
      <c r="B12" s="80" t="s">
        <v>46</v>
      </c>
      <c r="C12" s="81"/>
      <c r="D12" s="82"/>
      <c r="E12" s="7">
        <v>74303.49960000001</v>
      </c>
      <c r="F12" s="8" t="s">
        <v>3</v>
      </c>
      <c r="G12" s="1"/>
    </row>
    <row r="13" spans="1:7" x14ac:dyDescent="0.45">
      <c r="A13" s="1"/>
      <c r="B13" s="80" t="s">
        <v>47</v>
      </c>
      <c r="C13" s="81"/>
      <c r="D13" s="82"/>
      <c r="E13" s="9">
        <v>360075.32193600002</v>
      </c>
      <c r="F13" s="8" t="s">
        <v>3</v>
      </c>
      <c r="G13" s="1"/>
    </row>
    <row r="14" spans="1:7" x14ac:dyDescent="0.45">
      <c r="A14" s="1"/>
      <c r="B14" s="80" t="s">
        <v>32</v>
      </c>
      <c r="C14" s="81"/>
      <c r="D14" s="82"/>
      <c r="E14" s="9">
        <v>0</v>
      </c>
      <c r="F14" s="8" t="s">
        <v>3</v>
      </c>
      <c r="G14" s="1"/>
    </row>
    <row r="15" spans="1:7" x14ac:dyDescent="0.45">
      <c r="A15" s="1"/>
      <c r="B15" s="80" t="s">
        <v>31</v>
      </c>
      <c r="C15" s="81"/>
      <c r="D15" s="82"/>
      <c r="E15" s="9">
        <v>0</v>
      </c>
      <c r="F15" s="8" t="s">
        <v>3</v>
      </c>
      <c r="G15" s="1"/>
    </row>
    <row r="16" spans="1:7" x14ac:dyDescent="0.45">
      <c r="A16" s="1"/>
      <c r="B16" s="80" t="s">
        <v>193</v>
      </c>
      <c r="C16" s="81"/>
      <c r="D16" s="82"/>
      <c r="E16" s="9">
        <v>0</v>
      </c>
      <c r="F16" s="8" t="s">
        <v>3</v>
      </c>
      <c r="G16" s="1"/>
    </row>
    <row r="17" spans="1:7" x14ac:dyDescent="0.45">
      <c r="A17" s="1"/>
      <c r="B17" s="80" t="s">
        <v>194</v>
      </c>
      <c r="C17" s="81"/>
      <c r="D17" s="82"/>
      <c r="E17" s="9">
        <v>0</v>
      </c>
      <c r="F17" s="8" t="s">
        <v>3</v>
      </c>
      <c r="G17" s="1"/>
    </row>
    <row r="18" spans="1:7" x14ac:dyDescent="0.45">
      <c r="A18" s="1"/>
      <c r="B18" s="80" t="s">
        <v>20</v>
      </c>
      <c r="C18" s="81"/>
      <c r="D18" s="82"/>
      <c r="E18" s="9">
        <f>(E9-SUM(E10:E11))*'Fane 14. Nøgletal'!C10+SUM(E10:E11)*'Fane 14. Nøgletal'!C11+SUM(E12:E17)*'Fane 14. Nøgletal'!C12</f>
        <v>916350.86151840189</v>
      </c>
      <c r="F18" s="8" t="s">
        <v>3</v>
      </c>
      <c r="G18" s="1"/>
    </row>
    <row r="19" spans="1:7" x14ac:dyDescent="0.45">
      <c r="A19" s="1"/>
      <c r="B19" s="80" t="s">
        <v>10</v>
      </c>
      <c r="C19" s="81"/>
      <c r="D19" s="82"/>
      <c r="E19" s="9">
        <f>-(E9+SUM(E12:E18))*'Fane 5. Individuelt eff. krav'!G10</f>
        <v>0</v>
      </c>
      <c r="F19" s="8" t="s">
        <v>3</v>
      </c>
      <c r="G19" s="1"/>
    </row>
    <row r="20" spans="1:7" x14ac:dyDescent="0.45">
      <c r="A20" s="1"/>
      <c r="B20" s="80" t="s">
        <v>29</v>
      </c>
      <c r="C20" s="81"/>
      <c r="D20" s="82"/>
      <c r="E20" s="9">
        <f>-'Fane 4.1. Gen. krav - drift'!G28</f>
        <v>-411391.05600532034</v>
      </c>
      <c r="F20" s="8" t="s">
        <v>3</v>
      </c>
      <c r="G20" s="1"/>
    </row>
    <row r="21" spans="1:7" x14ac:dyDescent="0.45">
      <c r="A21" s="1"/>
      <c r="B21" s="80" t="s">
        <v>30</v>
      </c>
      <c r="C21" s="81"/>
      <c r="D21" s="82"/>
      <c r="E21" s="9">
        <f>-'Fane 4.2. Gen. krav - anlæg'!G27</f>
        <v>-582826.05899051577</v>
      </c>
      <c r="F21" s="8" t="s">
        <v>3</v>
      </c>
      <c r="G21" s="1"/>
    </row>
    <row r="22" spans="1:7" x14ac:dyDescent="0.45">
      <c r="A22" s="1"/>
      <c r="B22" s="83" t="s">
        <v>22</v>
      </c>
      <c r="C22" s="84"/>
      <c r="D22" s="85"/>
      <c r="E22" s="10">
        <f>SUM(E9,E12:E21)</f>
        <v>52239646.6288682</v>
      </c>
      <c r="F22" s="11" t="s">
        <v>3</v>
      </c>
      <c r="G22" s="1"/>
    </row>
    <row r="23" spans="1:7" x14ac:dyDescent="0.45">
      <c r="A23" s="1"/>
      <c r="B23" s="37" t="s">
        <v>13</v>
      </c>
      <c r="C23" s="38"/>
      <c r="D23" s="38"/>
      <c r="E23" s="38"/>
      <c r="F23" s="20"/>
      <c r="G23" s="1"/>
    </row>
    <row r="24" spans="1:7" ht="14.25" customHeight="1" x14ac:dyDescent="0.45">
      <c r="A24" s="1"/>
      <c r="B24" s="77" t="s">
        <v>13</v>
      </c>
      <c r="C24" s="78"/>
      <c r="D24" s="79"/>
      <c r="E24" s="10">
        <v>9755158.4580822811</v>
      </c>
      <c r="F24" s="10" t="s">
        <v>3</v>
      </c>
      <c r="G24" s="1"/>
    </row>
    <row r="25" spans="1:7" ht="14.25" customHeight="1" x14ac:dyDescent="0.45">
      <c r="A25" s="1"/>
      <c r="B25" s="37" t="s">
        <v>111</v>
      </c>
      <c r="C25" s="37"/>
      <c r="D25" s="37"/>
      <c r="E25" s="38"/>
      <c r="F25" s="38"/>
      <c r="G25" s="1"/>
    </row>
    <row r="26" spans="1:7" x14ac:dyDescent="0.45">
      <c r="A26" s="1"/>
      <c r="B26" s="86" t="s">
        <v>111</v>
      </c>
      <c r="C26" s="87"/>
      <c r="D26" s="88"/>
      <c r="E26" s="10">
        <v>0</v>
      </c>
      <c r="F26" s="10" t="s">
        <v>3</v>
      </c>
      <c r="G26" s="1"/>
    </row>
    <row r="27" spans="1:7" x14ac:dyDescent="0.45">
      <c r="A27" s="1"/>
      <c r="B27" s="37" t="s">
        <v>110</v>
      </c>
      <c r="C27" s="37"/>
      <c r="D27" s="37"/>
      <c r="E27" s="38"/>
      <c r="F27" s="38"/>
      <c r="G27" s="1"/>
    </row>
    <row r="28" spans="1:7" ht="15.4" customHeight="1" x14ac:dyDescent="0.45">
      <c r="A28" s="1"/>
      <c r="B28" s="89" t="s">
        <v>106</v>
      </c>
      <c r="C28" s="90"/>
      <c r="D28" s="91"/>
      <c r="E28" s="34">
        <v>0</v>
      </c>
      <c r="F28" s="8" t="s">
        <v>3</v>
      </c>
      <c r="G28" s="1"/>
    </row>
    <row r="29" spans="1:7" ht="15.75" customHeight="1" x14ac:dyDescent="0.45">
      <c r="A29" s="1"/>
      <c r="B29" s="89" t="s">
        <v>107</v>
      </c>
      <c r="C29" s="90"/>
      <c r="D29" s="91"/>
      <c r="E29" s="34">
        <v>0</v>
      </c>
      <c r="F29" s="8" t="s">
        <v>3</v>
      </c>
      <c r="G29" s="1"/>
    </row>
    <row r="30" spans="1:7" x14ac:dyDescent="0.45">
      <c r="A30" s="1"/>
      <c r="B30" s="48" t="s">
        <v>112</v>
      </c>
      <c r="C30" s="46"/>
      <c r="D30" s="47"/>
      <c r="E30" s="10">
        <v>0</v>
      </c>
      <c r="F30" s="11" t="s">
        <v>3</v>
      </c>
      <c r="G30" s="1"/>
    </row>
    <row r="31" spans="1:7" x14ac:dyDescent="0.45">
      <c r="A31" s="1"/>
      <c r="B31" s="37" t="s">
        <v>266</v>
      </c>
      <c r="C31" s="38"/>
      <c r="D31" s="38"/>
      <c r="E31" s="38"/>
      <c r="F31" s="20"/>
      <c r="G31" s="1"/>
    </row>
    <row r="32" spans="1:7" ht="14.25" customHeight="1" x14ac:dyDescent="0.45">
      <c r="A32" s="1"/>
      <c r="B32" s="77" t="s">
        <v>267</v>
      </c>
      <c r="C32" s="78"/>
      <c r="D32" s="79"/>
      <c r="E32" s="10">
        <v>0</v>
      </c>
      <c r="F32" s="11" t="s">
        <v>3</v>
      </c>
      <c r="G32" s="1"/>
    </row>
    <row r="33" spans="1:7" x14ac:dyDescent="0.45">
      <c r="A33" s="1"/>
      <c r="B33" s="37" t="s">
        <v>268</v>
      </c>
      <c r="C33" s="38"/>
      <c r="D33" s="38"/>
      <c r="E33" s="38"/>
      <c r="F33" s="20"/>
      <c r="G33" s="1"/>
    </row>
    <row r="34" spans="1:7" ht="15" customHeight="1" x14ac:dyDescent="0.45">
      <c r="A34" s="1"/>
      <c r="B34" s="77" t="s">
        <v>269</v>
      </c>
      <c r="C34" s="78"/>
      <c r="D34" s="79"/>
      <c r="E34" s="10">
        <v>18831.718291604426</v>
      </c>
      <c r="F34" s="11" t="s">
        <v>3</v>
      </c>
      <c r="G34" s="1"/>
    </row>
    <row r="35" spans="1:7" x14ac:dyDescent="0.45">
      <c r="A35" s="1"/>
      <c r="B35" s="37" t="s">
        <v>26</v>
      </c>
      <c r="C35" s="38"/>
      <c r="D35" s="38"/>
      <c r="E35" s="12">
        <f>E22+E24+E26+E30+E32+E34</f>
        <v>62013636.805242084</v>
      </c>
      <c r="F35" s="13" t="s">
        <v>3</v>
      </c>
      <c r="G35" s="1"/>
    </row>
    <row r="36" spans="1:7" ht="26.85" customHeight="1" x14ac:dyDescent="0.45">
      <c r="A36" s="1"/>
      <c r="B36" s="74" t="s">
        <v>202</v>
      </c>
      <c r="C36" s="75"/>
      <c r="D36" s="75"/>
      <c r="E36" s="75"/>
      <c r="F36" s="76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</sheetData>
  <sheetProtection algorithmName="SHA-512" hashValue="NiaMJPnHGJM0qETp0v3fed90Y3FgaC00uhNgFZ3E8R3k7jzmsCDmyrVD6ZSrgqoAVce22EPsZ91fvW3ReYV85w==" saltValue="8WbEheoMfDc76Ric8mnYGg==" spinCount="100000" sheet="1" objects="1" scenarios="1"/>
  <mergeCells count="22">
    <mergeCell ref="B3:F4"/>
    <mergeCell ref="B9:D9"/>
    <mergeCell ref="B12:D12"/>
    <mergeCell ref="B13:D13"/>
    <mergeCell ref="B14:D14"/>
    <mergeCell ref="B10:D10"/>
    <mergeCell ref="B11:D11"/>
    <mergeCell ref="B36:F36"/>
    <mergeCell ref="B34:D34"/>
    <mergeCell ref="B15:D15"/>
    <mergeCell ref="B16:D16"/>
    <mergeCell ref="B17:D17"/>
    <mergeCell ref="B32:D32"/>
    <mergeCell ref="B18:D18"/>
    <mergeCell ref="B19:D19"/>
    <mergeCell ref="B20:D20"/>
    <mergeCell ref="B24:D24"/>
    <mergeCell ref="B21:D21"/>
    <mergeCell ref="B22:D22"/>
    <mergeCell ref="B26:D26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7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ht="15" customHeight="1" x14ac:dyDescent="0.45">
      <c r="A1" s="1"/>
      <c r="B1" s="92" t="s">
        <v>167</v>
      </c>
      <c r="C1" s="92"/>
      <c r="D1" s="92"/>
      <c r="E1" s="92"/>
      <c r="F1" s="92"/>
      <c r="G1" s="92"/>
      <c r="H1" s="92"/>
      <c r="I1" s="1"/>
    </row>
    <row r="2" spans="1:9" ht="15" customHeight="1" x14ac:dyDescent="0.45">
      <c r="A2" s="1"/>
      <c r="B2" s="92"/>
      <c r="C2" s="92"/>
      <c r="D2" s="92"/>
      <c r="E2" s="92"/>
      <c r="F2" s="92"/>
      <c r="G2" s="92"/>
      <c r="H2" s="92"/>
      <c r="I2" s="1"/>
    </row>
    <row r="3" spans="1:9" ht="15" customHeight="1" x14ac:dyDescent="0.45">
      <c r="A3" s="1"/>
      <c r="B3" s="92"/>
      <c r="C3" s="92"/>
      <c r="D3" s="92"/>
      <c r="E3" s="92"/>
      <c r="F3" s="92"/>
      <c r="G3" s="92"/>
      <c r="H3" s="92"/>
      <c r="I3" s="1"/>
    </row>
    <row r="4" spans="1:9" x14ac:dyDescent="0.45">
      <c r="A4" s="1"/>
      <c r="B4" s="102" t="s">
        <v>66</v>
      </c>
      <c r="C4" s="103"/>
      <c r="D4" s="103"/>
      <c r="E4" s="103"/>
      <c r="F4" s="103"/>
      <c r="G4" s="103"/>
      <c r="H4" s="104"/>
      <c r="I4" s="1"/>
    </row>
    <row r="5" spans="1:9" x14ac:dyDescent="0.45">
      <c r="A5" s="1"/>
      <c r="B5" s="99" t="s">
        <v>55</v>
      </c>
      <c r="C5" s="100"/>
      <c r="D5" s="100"/>
      <c r="E5" s="100"/>
      <c r="F5" s="101"/>
      <c r="G5" s="24">
        <v>20670010.917066451</v>
      </c>
      <c r="H5" s="14" t="s">
        <v>3</v>
      </c>
      <c r="I5" s="1"/>
    </row>
    <row r="6" spans="1:9" x14ac:dyDescent="0.45">
      <c r="A6" s="1"/>
      <c r="B6" s="74" t="s">
        <v>183</v>
      </c>
      <c r="C6" s="75"/>
      <c r="D6" s="75"/>
      <c r="E6" s="75"/>
      <c r="F6" s="76"/>
      <c r="G6" s="24">
        <v>0</v>
      </c>
      <c r="H6" s="14" t="s">
        <v>3</v>
      </c>
      <c r="I6" s="1"/>
    </row>
    <row r="7" spans="1:9" x14ac:dyDescent="0.45">
      <c r="A7" s="1"/>
      <c r="B7" s="99" t="s">
        <v>56</v>
      </c>
      <c r="C7" s="100"/>
      <c r="D7" s="100"/>
      <c r="E7" s="100"/>
      <c r="F7" s="101"/>
      <c r="G7" s="24">
        <f>SUM(G5:G6)*'Fane 14. Nøgletal'!C27</f>
        <v>413400.21834132902</v>
      </c>
      <c r="H7" s="14" t="s">
        <v>3</v>
      </c>
      <c r="I7" s="1"/>
    </row>
    <row r="8" spans="1:9" x14ac:dyDescent="0.45">
      <c r="A8" s="1"/>
      <c r="B8" s="37"/>
      <c r="C8" s="38"/>
      <c r="D8" s="38"/>
      <c r="E8" s="38"/>
      <c r="F8" s="38"/>
      <c r="G8" s="38"/>
      <c r="H8" s="20"/>
      <c r="I8" s="1"/>
    </row>
    <row r="9" spans="1:9" x14ac:dyDescent="0.45">
      <c r="A9" s="1"/>
      <c r="B9" s="1"/>
      <c r="C9" s="1"/>
      <c r="D9" s="1"/>
      <c r="E9" s="1"/>
      <c r="F9" s="1"/>
      <c r="G9" s="1"/>
      <c r="H9" s="1"/>
      <c r="I9" s="1"/>
    </row>
    <row r="10" spans="1:9" x14ac:dyDescent="0.45">
      <c r="A10" s="1"/>
      <c r="B10" s="102" t="s">
        <v>67</v>
      </c>
      <c r="C10" s="103"/>
      <c r="D10" s="103"/>
      <c r="E10" s="103"/>
      <c r="F10" s="103"/>
      <c r="G10" s="103"/>
      <c r="H10" s="104"/>
      <c r="I10" s="1"/>
    </row>
    <row r="11" spans="1:9" x14ac:dyDescent="0.45">
      <c r="A11" s="1"/>
      <c r="B11" s="99" t="s">
        <v>57</v>
      </c>
      <c r="C11" s="100"/>
      <c r="D11" s="100"/>
      <c r="E11" s="100"/>
      <c r="F11" s="101"/>
      <c r="G11" s="24">
        <f>(G5-G7)*(1+'Fane 14. Nøgletal'!C10)</f>
        <v>20611101.385952815</v>
      </c>
      <c r="H11" s="14" t="s">
        <v>3</v>
      </c>
      <c r="I11" s="1"/>
    </row>
    <row r="12" spans="1:9" x14ac:dyDescent="0.45">
      <c r="A12" s="1"/>
      <c r="B12" s="99" t="s">
        <v>185</v>
      </c>
      <c r="C12" s="100"/>
      <c r="D12" s="100"/>
      <c r="E12" s="100"/>
      <c r="F12" s="101"/>
      <c r="G12" s="24">
        <v>0</v>
      </c>
      <c r="H12" s="14" t="s">
        <v>3</v>
      </c>
      <c r="I12" s="1"/>
    </row>
    <row r="13" spans="1:9" x14ac:dyDescent="0.45">
      <c r="A13" s="1"/>
      <c r="B13" s="74" t="s">
        <v>182</v>
      </c>
      <c r="C13" s="75"/>
      <c r="D13" s="75"/>
      <c r="E13" s="75"/>
      <c r="F13" s="76"/>
      <c r="G13" s="24">
        <v>0</v>
      </c>
      <c r="H13" s="14" t="s">
        <v>3</v>
      </c>
      <c r="I13" s="1"/>
    </row>
    <row r="14" spans="1:9" x14ac:dyDescent="0.45">
      <c r="A14" s="1"/>
      <c r="B14" s="96" t="s">
        <v>58</v>
      </c>
      <c r="C14" s="97"/>
      <c r="D14" s="97"/>
      <c r="E14" s="97"/>
      <c r="F14" s="98"/>
      <c r="G14" s="24">
        <v>0</v>
      </c>
      <c r="H14" s="14" t="s">
        <v>3</v>
      </c>
      <c r="I14" s="1"/>
    </row>
    <row r="15" spans="1:9" x14ac:dyDescent="0.45">
      <c r="A15" s="1"/>
      <c r="B15" s="99" t="s">
        <v>59</v>
      </c>
      <c r="C15" s="100"/>
      <c r="D15" s="100"/>
      <c r="E15" s="100"/>
      <c r="F15" s="101"/>
      <c r="G15" s="24">
        <f>SUM(G11:G14)*'Fane 14. Nøgletal'!C27</f>
        <v>412222.02771905629</v>
      </c>
      <c r="H15" s="14" t="s">
        <v>3</v>
      </c>
      <c r="I15" s="1"/>
    </row>
    <row r="16" spans="1:9" x14ac:dyDescent="0.45">
      <c r="A16" s="1"/>
      <c r="B16" s="37"/>
      <c r="C16" s="38"/>
      <c r="D16" s="38"/>
      <c r="E16" s="38"/>
      <c r="F16" s="38"/>
      <c r="G16" s="38"/>
      <c r="H16" s="20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02" t="s">
        <v>68</v>
      </c>
      <c r="C18" s="103"/>
      <c r="D18" s="103"/>
      <c r="E18" s="103"/>
      <c r="F18" s="103"/>
      <c r="G18" s="103"/>
      <c r="H18" s="104"/>
      <c r="I18" s="1"/>
    </row>
    <row r="19" spans="1:9" x14ac:dyDescent="0.45">
      <c r="A19" s="1"/>
      <c r="B19" s="99" t="s">
        <v>60</v>
      </c>
      <c r="C19" s="100"/>
      <c r="D19" s="100"/>
      <c r="E19" s="100"/>
      <c r="F19" s="101"/>
      <c r="G19" s="24">
        <f>(G11+G12+G14-G15)*(1+'Fane 14. Nøgletal'!C10)</f>
        <v>20552359.747002851</v>
      </c>
      <c r="H19" s="14" t="s">
        <v>3</v>
      </c>
      <c r="I19" s="1"/>
    </row>
    <row r="20" spans="1:9" x14ac:dyDescent="0.45">
      <c r="A20" s="1"/>
      <c r="B20" s="96" t="s">
        <v>61</v>
      </c>
      <c r="C20" s="97"/>
      <c r="D20" s="97"/>
      <c r="E20" s="97"/>
      <c r="F20" s="98"/>
      <c r="G20" s="24">
        <v>0</v>
      </c>
      <c r="H20" s="14" t="s">
        <v>3</v>
      </c>
      <c r="I20" s="1"/>
    </row>
    <row r="21" spans="1:9" x14ac:dyDescent="0.45">
      <c r="A21" s="1"/>
      <c r="B21" s="99" t="s">
        <v>62</v>
      </c>
      <c r="C21" s="100"/>
      <c r="D21" s="100"/>
      <c r="E21" s="100"/>
      <c r="F21" s="101"/>
      <c r="G21" s="24">
        <f>(G19+G20)*'Fane 14. Nøgletal'!C27</f>
        <v>411047.19494005706</v>
      </c>
      <c r="H21" s="14" t="s">
        <v>3</v>
      </c>
      <c r="I21" s="1"/>
    </row>
    <row r="22" spans="1:9" x14ac:dyDescent="0.45">
      <c r="A22" s="1"/>
      <c r="B22" s="37"/>
      <c r="C22" s="38"/>
      <c r="D22" s="38"/>
      <c r="E22" s="38"/>
      <c r="F22" s="38"/>
      <c r="G22" s="38"/>
      <c r="H22" s="20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02" t="s">
        <v>69</v>
      </c>
      <c r="C24" s="103"/>
      <c r="D24" s="103"/>
      <c r="E24" s="103"/>
      <c r="F24" s="103"/>
      <c r="G24" s="103"/>
      <c r="H24" s="104"/>
      <c r="I24" s="1"/>
    </row>
    <row r="25" spans="1:9" x14ac:dyDescent="0.45">
      <c r="A25" s="1"/>
      <c r="B25" s="99" t="s">
        <v>63</v>
      </c>
      <c r="C25" s="100"/>
      <c r="D25" s="100"/>
      <c r="E25" s="100"/>
      <c r="F25" s="101"/>
      <c r="G25" s="24">
        <f>G19*(1-'Fane 14. Nøgletal'!C27)*(1+'Fane 14. Nøgletal'!C10)+G20*(1-'Fane 14. Nøgletal'!C27)*(1+'Fane 14. Nøgletal'!C11)</f>
        <v>20493785.521723896</v>
      </c>
      <c r="H25" s="14" t="s">
        <v>3</v>
      </c>
      <c r="I25" s="1"/>
    </row>
    <row r="26" spans="1:9" x14ac:dyDescent="0.45">
      <c r="A26" s="1"/>
      <c r="B26" s="105" t="s">
        <v>180</v>
      </c>
      <c r="C26" s="106"/>
      <c r="D26" s="106"/>
      <c r="E26" s="106"/>
      <c r="F26" s="107"/>
      <c r="G26" s="24">
        <f>G20*(1-'Fane 14. Nøgletal'!C27)*(1+'Fane 14. Nøgletal'!C11)</f>
        <v>0</v>
      </c>
      <c r="H26" s="14" t="s">
        <v>3</v>
      </c>
      <c r="I26" s="1"/>
    </row>
    <row r="27" spans="1:9" x14ac:dyDescent="0.45">
      <c r="A27" s="1"/>
      <c r="B27" s="96" t="s">
        <v>64</v>
      </c>
      <c r="C27" s="97"/>
      <c r="D27" s="97"/>
      <c r="E27" s="97"/>
      <c r="F27" s="98"/>
      <c r="G27" s="24">
        <v>75767.27854212001</v>
      </c>
      <c r="H27" s="14" t="s">
        <v>3</v>
      </c>
      <c r="I27" s="1"/>
    </row>
    <row r="28" spans="1:9" x14ac:dyDescent="0.45">
      <c r="A28" s="1"/>
      <c r="B28" s="99" t="s">
        <v>65</v>
      </c>
      <c r="C28" s="100"/>
      <c r="D28" s="100"/>
      <c r="E28" s="100"/>
      <c r="F28" s="101"/>
      <c r="G28" s="24">
        <f>SUM(G25,G27)*'Fane 14. Nøgletal'!C27</f>
        <v>411391.05600532034</v>
      </c>
      <c r="H28" s="14" t="s">
        <v>3</v>
      </c>
      <c r="I28" s="1"/>
    </row>
    <row r="29" spans="1:9" x14ac:dyDescent="0.45">
      <c r="A29" s="1"/>
      <c r="B29" s="37"/>
      <c r="C29" s="38"/>
      <c r="D29" s="38"/>
      <c r="E29" s="38"/>
      <c r="F29" s="38"/>
      <c r="G29" s="38"/>
      <c r="H29" s="20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02" t="s">
        <v>72</v>
      </c>
      <c r="C31" s="103"/>
      <c r="D31" s="103"/>
      <c r="E31" s="103"/>
      <c r="F31" s="103"/>
      <c r="G31" s="103"/>
      <c r="H31" s="104"/>
      <c r="I31" s="1"/>
    </row>
    <row r="32" spans="1:9" x14ac:dyDescent="0.45">
      <c r="A32" s="1"/>
      <c r="B32" s="99" t="s">
        <v>73</v>
      </c>
      <c r="C32" s="100"/>
      <c r="D32" s="100"/>
      <c r="E32" s="100"/>
      <c r="F32" s="101"/>
      <c r="G32" s="24">
        <f>(G25-G26)*(1-'Fane 14. Nøgletal'!C27)*(1+'Fane 14. Nøgletal'!C10)+G26*(1-'Fane 14. Nøgletal'!C27)*(1+'Fane 14. Nøgletal'!C11)+G27*(1-'Fane 14. Nøgletal'!C27)*(1+'Fane 14. Nøgletal'!C12)</f>
        <v>20511092.929037794</v>
      </c>
      <c r="H32" s="14" t="s">
        <v>3</v>
      </c>
      <c r="I32" s="1"/>
    </row>
    <row r="33" spans="1:9" x14ac:dyDescent="0.45">
      <c r="A33" s="1"/>
      <c r="B33" s="105" t="s">
        <v>180</v>
      </c>
      <c r="C33" s="97"/>
      <c r="D33" s="97"/>
      <c r="E33" s="97"/>
      <c r="F33" s="98"/>
      <c r="G33" s="24">
        <f>G26*(1-'Fane 14. Nøgletal'!C27)*(1+'Fane 14. Nøgletal'!C11)</f>
        <v>0</v>
      </c>
      <c r="H33" s="14" t="s">
        <v>3</v>
      </c>
      <c r="I33" s="1"/>
    </row>
    <row r="34" spans="1:9" x14ac:dyDescent="0.45">
      <c r="A34" s="1"/>
      <c r="B34" s="105" t="s">
        <v>181</v>
      </c>
      <c r="C34" s="97"/>
      <c r="D34" s="97"/>
      <c r="E34" s="97"/>
      <c r="F34" s="98"/>
      <c r="G34" s="24">
        <f>G27*(1-'Fane 14. Nøgletal'!C27)*(1+'Fane 14. Nøgletal'!C12)</f>
        <v>75714.696050811777</v>
      </c>
      <c r="H34" s="14" t="s">
        <v>3</v>
      </c>
      <c r="I34" s="1"/>
    </row>
    <row r="35" spans="1:9" x14ac:dyDescent="0.45">
      <c r="A35" s="1"/>
      <c r="B35" s="99" t="s">
        <v>239</v>
      </c>
      <c r="C35" s="100"/>
      <c r="D35" s="100"/>
      <c r="E35" s="100"/>
      <c r="F35" s="101"/>
      <c r="G35" s="24">
        <f>SUM('Fane 2.1. Økonomisk ramme 2021'!C14,'Fane 2.1. Økonomisk ramme 2021'!C16,'Fane 2.1. Økonomisk ramme 2021'!C18)*(1+'Fane 14. Nøgletal'!C13)</f>
        <v>123016.55466995999</v>
      </c>
      <c r="H35" s="14" t="s">
        <v>3</v>
      </c>
      <c r="I35" s="1"/>
    </row>
    <row r="36" spans="1:9" x14ac:dyDescent="0.45">
      <c r="A36" s="1"/>
      <c r="B36" s="99" t="s">
        <v>74</v>
      </c>
      <c r="C36" s="100"/>
      <c r="D36" s="100"/>
      <c r="E36" s="100"/>
      <c r="F36" s="101"/>
      <c r="G36" s="24">
        <f>SUM(G32,G35)*'Fane 14. Nøgletal'!C27</f>
        <v>412682.18967415515</v>
      </c>
      <c r="H36" s="14" t="s">
        <v>3</v>
      </c>
      <c r="I36" s="1"/>
    </row>
    <row r="37" spans="1:9" x14ac:dyDescent="0.45">
      <c r="A37" s="1"/>
      <c r="B37" s="37"/>
      <c r="C37" s="38"/>
      <c r="D37" s="38"/>
      <c r="E37" s="38"/>
      <c r="F37" s="38"/>
      <c r="G37" s="38"/>
      <c r="H37" s="20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02" t="s">
        <v>99</v>
      </c>
      <c r="C39" s="103"/>
      <c r="D39" s="103"/>
      <c r="E39" s="103"/>
      <c r="F39" s="103"/>
      <c r="G39" s="103"/>
      <c r="H39" s="104"/>
      <c r="I39" s="1"/>
    </row>
    <row r="40" spans="1:9" x14ac:dyDescent="0.45">
      <c r="A40" s="1"/>
      <c r="B40" s="99" t="s">
        <v>98</v>
      </c>
      <c r="C40" s="100"/>
      <c r="D40" s="100"/>
      <c r="E40" s="100"/>
      <c r="F40" s="101"/>
      <c r="G40" s="24">
        <f>(SUM(G32,G35)-G36)*(1+'Fane 14. Nøgletal'!C13)</f>
        <v>20468128.707020812</v>
      </c>
      <c r="H40" s="14" t="s">
        <v>3</v>
      </c>
      <c r="I40" s="1"/>
    </row>
    <row r="41" spans="1:9" x14ac:dyDescent="0.45">
      <c r="A41" s="1"/>
      <c r="B41" s="99" t="s">
        <v>114</v>
      </c>
      <c r="C41" s="100"/>
      <c r="D41" s="100"/>
      <c r="E41" s="100"/>
      <c r="F41" s="101"/>
      <c r="G41" s="24">
        <f>-'Fane 13. Bortfald'!C18*(1+'Fane 14. Nøgletal'!C13)</f>
        <v>0</v>
      </c>
      <c r="H41" s="14" t="s">
        <v>3</v>
      </c>
      <c r="I41" s="1"/>
    </row>
    <row r="42" spans="1:9" x14ac:dyDescent="0.45">
      <c r="A42" s="1"/>
      <c r="B42" s="99" t="s">
        <v>75</v>
      </c>
      <c r="C42" s="100"/>
      <c r="D42" s="100"/>
      <c r="E42" s="100"/>
      <c r="F42" s="101"/>
      <c r="G42" s="24">
        <f>(G40+G41)*'Fane 14. Nøgletal'!C27</f>
        <v>409362.57414041623</v>
      </c>
      <c r="H42" s="14" t="s">
        <v>3</v>
      </c>
      <c r="I42" s="1"/>
    </row>
    <row r="43" spans="1:9" x14ac:dyDescent="0.45">
      <c r="A43" s="1"/>
      <c r="B43" s="37"/>
      <c r="C43" s="38"/>
      <c r="D43" s="38"/>
      <c r="E43" s="38"/>
      <c r="F43" s="38"/>
      <c r="G43" s="38"/>
      <c r="H43" s="20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02" t="s">
        <v>100</v>
      </c>
      <c r="C45" s="103"/>
      <c r="D45" s="103"/>
      <c r="E45" s="103"/>
      <c r="F45" s="103"/>
      <c r="G45" s="103"/>
      <c r="H45" s="104"/>
      <c r="I45" s="1"/>
    </row>
    <row r="46" spans="1:9" x14ac:dyDescent="0.45">
      <c r="A46" s="1"/>
      <c r="B46" s="99" t="s">
        <v>97</v>
      </c>
      <c r="C46" s="100"/>
      <c r="D46" s="100"/>
      <c r="E46" s="100"/>
      <c r="F46" s="101"/>
      <c r="G46" s="24">
        <f>(G40+G41-G42)*(1+'Fane 14. Nøgletal'!C13)</f>
        <v>20303483.079701539</v>
      </c>
      <c r="H46" s="14" t="s">
        <v>3</v>
      </c>
      <c r="I46" s="1"/>
    </row>
    <row r="47" spans="1:9" x14ac:dyDescent="0.45">
      <c r="A47" s="1"/>
      <c r="B47" s="99" t="s">
        <v>115</v>
      </c>
      <c r="C47" s="100"/>
      <c r="D47" s="100"/>
      <c r="E47" s="100"/>
      <c r="F47" s="101"/>
      <c r="G47" s="24">
        <f>-'Fane 13. Bortfald'!C24*(1+'Fane 14. Nøgletal'!C13)</f>
        <v>0</v>
      </c>
      <c r="H47" s="14" t="s">
        <v>3</v>
      </c>
      <c r="I47" s="1"/>
    </row>
    <row r="48" spans="1:9" x14ac:dyDescent="0.45">
      <c r="A48" s="1"/>
      <c r="B48" s="99" t="s">
        <v>76</v>
      </c>
      <c r="C48" s="100"/>
      <c r="D48" s="100"/>
      <c r="E48" s="100"/>
      <c r="F48" s="101"/>
      <c r="G48" s="24">
        <f>(G46+G47)*'Fane 14. Nøgletal'!C27</f>
        <v>406069.6615940308</v>
      </c>
      <c r="H48" s="14" t="s">
        <v>3</v>
      </c>
      <c r="I48" s="1"/>
    </row>
    <row r="49" spans="1:9" x14ac:dyDescent="0.45">
      <c r="A49" s="1"/>
      <c r="B49" s="37"/>
      <c r="C49" s="38"/>
      <c r="D49" s="38"/>
      <c r="E49" s="38"/>
      <c r="F49" s="38"/>
      <c r="G49" s="38"/>
      <c r="H49" s="20"/>
      <c r="I49" s="1"/>
    </row>
    <row r="50" spans="1:9" x14ac:dyDescent="0.45">
      <c r="A50" s="1"/>
      <c r="B50" s="35"/>
      <c r="C50" s="35"/>
      <c r="D50" s="35"/>
      <c r="E50" s="35"/>
      <c r="F50" s="35"/>
      <c r="G50" s="35"/>
      <c r="H50" s="35"/>
      <c r="I50" s="1"/>
    </row>
    <row r="51" spans="1:9" x14ac:dyDescent="0.45">
      <c r="A51" s="1"/>
      <c r="B51" s="35"/>
      <c r="C51" s="35"/>
      <c r="D51" s="35"/>
      <c r="E51" s="35"/>
      <c r="F51" s="35"/>
      <c r="G51" s="35"/>
      <c r="H51" s="35"/>
      <c r="I51" s="1"/>
    </row>
    <row r="52" spans="1:9" x14ac:dyDescent="0.45">
      <c r="A52" s="1"/>
      <c r="B52" s="102" t="s">
        <v>240</v>
      </c>
      <c r="C52" s="103"/>
      <c r="D52" s="103"/>
      <c r="E52" s="103"/>
      <c r="F52" s="103"/>
      <c r="G52" s="103"/>
      <c r="H52" s="104"/>
      <c r="I52" s="1"/>
    </row>
    <row r="53" spans="1:9" x14ac:dyDescent="0.45">
      <c r="A53" s="1"/>
      <c r="B53" s="99" t="s">
        <v>241</v>
      </c>
      <c r="C53" s="100"/>
      <c r="D53" s="100"/>
      <c r="E53" s="100"/>
      <c r="F53" s="101"/>
      <c r="G53" s="24">
        <f>(G46+G47-G48)*(1+'Fane 14. Nøgletal'!C13)</f>
        <v>20140161.861808419</v>
      </c>
      <c r="H53" s="14" t="s">
        <v>3</v>
      </c>
      <c r="I53" s="1"/>
    </row>
    <row r="54" spans="1:9" x14ac:dyDescent="0.45">
      <c r="A54" s="1"/>
      <c r="B54" s="99" t="s">
        <v>242</v>
      </c>
      <c r="C54" s="100"/>
      <c r="D54" s="100"/>
      <c r="E54" s="100"/>
      <c r="F54" s="101"/>
      <c r="G54" s="24">
        <f>-'Fane 13. Bortfald'!C30*(1+'Fane 14. Nøgletal'!C13)</f>
        <v>0</v>
      </c>
      <c r="H54" s="14" t="s">
        <v>3</v>
      </c>
      <c r="I54" s="1"/>
    </row>
    <row r="55" spans="1:9" x14ac:dyDescent="0.45">
      <c r="A55" s="1"/>
      <c r="B55" s="99" t="s">
        <v>243</v>
      </c>
      <c r="C55" s="100"/>
      <c r="D55" s="100"/>
      <c r="E55" s="100"/>
      <c r="F55" s="101"/>
      <c r="G55" s="24">
        <f>(G53+G54)*'Fane 14. Nøgletal'!C27</f>
        <v>402803.23723616841</v>
      </c>
      <c r="H55" s="14" t="s">
        <v>3</v>
      </c>
      <c r="I55" s="1"/>
    </row>
    <row r="56" spans="1:9" x14ac:dyDescent="0.45">
      <c r="A56" s="1"/>
      <c r="B56" s="37"/>
      <c r="C56" s="38"/>
      <c r="D56" s="38"/>
      <c r="E56" s="38"/>
      <c r="F56" s="38"/>
      <c r="G56" s="38"/>
      <c r="H56" s="20"/>
      <c r="I56" s="1"/>
    </row>
    <row r="57" spans="1:9" x14ac:dyDescent="0.45">
      <c r="A57" s="1"/>
      <c r="B57" s="1"/>
      <c r="C57" s="1"/>
      <c r="D57" s="1"/>
      <c r="E57" s="1"/>
      <c r="F57" s="1"/>
      <c r="G57" s="1"/>
      <c r="H57" s="1"/>
      <c r="I57" s="1"/>
    </row>
  </sheetData>
  <sheetProtection algorithmName="SHA-512" hashValue="ZcZXz2zjYeaKPknYP+WZbWapeYbORMLRZZZ+CahHeC3YS8LCo5lVWcE/2viEQrilSZ6ynts1jCrWvJgn2kM47g==" saltValue="hzEfuFXqhKsP1i63Z7Mziw==" spinCount="100000" sheet="1" objects="1" scenarios="1"/>
  <mergeCells count="38">
    <mergeCell ref="B52:H52"/>
    <mergeCell ref="B53:F53"/>
    <mergeCell ref="B54:F54"/>
    <mergeCell ref="B55:F55"/>
    <mergeCell ref="B12:F12"/>
    <mergeCell ref="B28:F28"/>
    <mergeCell ref="B36:F36"/>
    <mergeCell ref="B45:H45"/>
    <mergeCell ref="B46:F46"/>
    <mergeCell ref="B48:F48"/>
    <mergeCell ref="B41:F41"/>
    <mergeCell ref="B47:F47"/>
    <mergeCell ref="B39:H39"/>
    <mergeCell ref="B42:F42"/>
    <mergeCell ref="B40:F40"/>
    <mergeCell ref="B13:F13"/>
    <mergeCell ref="B1:H3"/>
    <mergeCell ref="B4:H4"/>
    <mergeCell ref="B5:F5"/>
    <mergeCell ref="B7:F7"/>
    <mergeCell ref="B11:F11"/>
    <mergeCell ref="B10:H10"/>
    <mergeCell ref="B6:F6"/>
    <mergeCell ref="B35:F35"/>
    <mergeCell ref="B26:F26"/>
    <mergeCell ref="B33:F33"/>
    <mergeCell ref="B34:F34"/>
    <mergeCell ref="B18:H18"/>
    <mergeCell ref="B24:H24"/>
    <mergeCell ref="B32:F32"/>
    <mergeCell ref="B14:F14"/>
    <mergeCell ref="B15:F15"/>
    <mergeCell ref="B19:F19"/>
    <mergeCell ref="B20:F20"/>
    <mergeCell ref="B31:H31"/>
    <mergeCell ref="B21:F21"/>
    <mergeCell ref="B25:F25"/>
    <mergeCell ref="B27:F2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6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9.597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45">
      <c r="A2" s="1"/>
      <c r="B2" s="108" t="s">
        <v>166</v>
      </c>
      <c r="C2" s="108"/>
      <c r="D2" s="108"/>
      <c r="E2" s="108"/>
      <c r="F2" s="108"/>
      <c r="G2" s="108"/>
      <c r="H2" s="108"/>
      <c r="I2" s="1"/>
    </row>
    <row r="3" spans="1:9" ht="28.5" customHeight="1" x14ac:dyDescent="0.45">
      <c r="A3" s="1"/>
      <c r="B3" s="108"/>
      <c r="C3" s="108"/>
      <c r="D3" s="108"/>
      <c r="E3" s="108"/>
      <c r="F3" s="108"/>
      <c r="G3" s="108"/>
      <c r="H3" s="108"/>
      <c r="I3" s="1"/>
    </row>
    <row r="4" spans="1:9" ht="18" x14ac:dyDescent="0.55000000000000004">
      <c r="A4" s="1"/>
      <c r="B4" s="30"/>
      <c r="C4" s="30"/>
      <c r="D4" s="30"/>
      <c r="E4" s="30"/>
      <c r="F4" s="30"/>
      <c r="G4" s="30"/>
      <c r="H4" s="30"/>
      <c r="I4" s="1"/>
    </row>
    <row r="5" spans="1:9" x14ac:dyDescent="0.45">
      <c r="A5" s="1"/>
      <c r="B5" s="102" t="s">
        <v>70</v>
      </c>
      <c r="C5" s="103"/>
      <c r="D5" s="103"/>
      <c r="E5" s="103"/>
      <c r="F5" s="103"/>
      <c r="G5" s="103"/>
      <c r="H5" s="104"/>
      <c r="I5" s="1"/>
    </row>
    <row r="6" spans="1:9" x14ac:dyDescent="0.45">
      <c r="A6" s="1"/>
      <c r="B6" s="99" t="s">
        <v>77</v>
      </c>
      <c r="C6" s="100"/>
      <c r="D6" s="100"/>
      <c r="E6" s="100"/>
      <c r="F6" s="101"/>
      <c r="G6" s="24">
        <v>30649542.231383901</v>
      </c>
      <c r="H6" s="14" t="s">
        <v>3</v>
      </c>
      <c r="I6" s="1"/>
    </row>
    <row r="7" spans="1:9" x14ac:dyDescent="0.45">
      <c r="A7" s="1"/>
      <c r="B7" s="99" t="s">
        <v>71</v>
      </c>
      <c r="C7" s="100"/>
      <c r="D7" s="100"/>
      <c r="E7" s="100"/>
      <c r="F7" s="101"/>
      <c r="G7" s="24">
        <f>G6*'Fane 14. Nøgletal'!C18</f>
        <v>278910.83430559351</v>
      </c>
      <c r="H7" s="14" t="s">
        <v>3</v>
      </c>
      <c r="I7" s="1"/>
    </row>
    <row r="8" spans="1:9" x14ac:dyDescent="0.45">
      <c r="A8" s="1"/>
      <c r="B8" s="37"/>
      <c r="C8" s="38"/>
      <c r="D8" s="38"/>
      <c r="E8" s="38"/>
      <c r="F8" s="38"/>
      <c r="G8" s="38"/>
      <c r="H8" s="20"/>
      <c r="I8" s="1"/>
    </row>
    <row r="9" spans="1:9" x14ac:dyDescent="0.45">
      <c r="A9" s="1"/>
      <c r="B9" s="1"/>
      <c r="C9" s="1"/>
      <c r="D9" s="1"/>
      <c r="E9" s="1"/>
      <c r="F9" s="1"/>
      <c r="G9" s="1"/>
      <c r="H9" s="1"/>
      <c r="I9" s="1"/>
    </row>
    <row r="10" spans="1:9" x14ac:dyDescent="0.45">
      <c r="A10" s="1"/>
      <c r="B10" s="102" t="s">
        <v>78</v>
      </c>
      <c r="C10" s="103"/>
      <c r="D10" s="103"/>
      <c r="E10" s="103"/>
      <c r="F10" s="103"/>
      <c r="G10" s="103"/>
      <c r="H10" s="104"/>
      <c r="I10" s="1"/>
    </row>
    <row r="11" spans="1:9" x14ac:dyDescent="0.45">
      <c r="A11" s="1"/>
      <c r="B11" s="99" t="s">
        <v>79</v>
      </c>
      <c r="C11" s="100"/>
      <c r="D11" s="100"/>
      <c r="E11" s="100"/>
      <c r="F11" s="101"/>
      <c r="G11" s="24">
        <f>(G6-G7)*(1+'Fane 14. Nøgletal'!C10)</f>
        <v>30902117.446527183</v>
      </c>
      <c r="H11" s="14" t="s">
        <v>3</v>
      </c>
      <c r="I11" s="1"/>
    </row>
    <row r="12" spans="1:9" x14ac:dyDescent="0.45">
      <c r="A12" s="1"/>
      <c r="B12" s="99" t="s">
        <v>186</v>
      </c>
      <c r="C12" s="100"/>
      <c r="D12" s="100"/>
      <c r="E12" s="100"/>
      <c r="F12" s="101"/>
      <c r="G12" s="24">
        <v>1026689.2582445933</v>
      </c>
      <c r="H12" s="14" t="s">
        <v>3</v>
      </c>
      <c r="I12" s="1"/>
    </row>
    <row r="13" spans="1:9" x14ac:dyDescent="0.45">
      <c r="A13" s="1"/>
      <c r="B13" s="96" t="s">
        <v>80</v>
      </c>
      <c r="C13" s="97"/>
      <c r="D13" s="97"/>
      <c r="E13" s="97"/>
      <c r="F13" s="98"/>
      <c r="G13" s="24">
        <v>308619.61659375002</v>
      </c>
      <c r="H13" s="14" t="s">
        <v>3</v>
      </c>
      <c r="I13" s="1"/>
    </row>
    <row r="14" spans="1:9" x14ac:dyDescent="0.45">
      <c r="A14" s="1"/>
      <c r="B14" s="99" t="s">
        <v>81</v>
      </c>
      <c r="C14" s="100"/>
      <c r="D14" s="100"/>
      <c r="E14" s="100"/>
      <c r="F14" s="101"/>
      <c r="G14" s="24">
        <f>SUM(G11:G13)*'Fane 14. Nøgletal'!C19</f>
        <v>570602.44588816981</v>
      </c>
      <c r="H14" s="14" t="s">
        <v>3</v>
      </c>
      <c r="I14" s="1"/>
    </row>
    <row r="15" spans="1:9" x14ac:dyDescent="0.45">
      <c r="A15" s="1"/>
      <c r="B15" s="37"/>
      <c r="C15" s="38"/>
      <c r="D15" s="38"/>
      <c r="E15" s="38"/>
      <c r="F15" s="38"/>
      <c r="G15" s="38"/>
      <c r="H15" s="20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02" t="s">
        <v>82</v>
      </c>
      <c r="C17" s="103"/>
      <c r="D17" s="103"/>
      <c r="E17" s="103"/>
      <c r="F17" s="103"/>
      <c r="G17" s="103"/>
      <c r="H17" s="104"/>
      <c r="I17" s="1"/>
    </row>
    <row r="18" spans="1:9" x14ac:dyDescent="0.45">
      <c r="A18" s="1"/>
      <c r="B18" s="99" t="s">
        <v>83</v>
      </c>
      <c r="C18" s="100"/>
      <c r="D18" s="100"/>
      <c r="E18" s="100"/>
      <c r="F18" s="101"/>
      <c r="G18" s="24">
        <f>(G11+G12+G13-G14)*(1+'Fane 14. Nøgletal'!C10)</f>
        <v>32220993.293298211</v>
      </c>
      <c r="H18" s="14" t="s">
        <v>3</v>
      </c>
      <c r="I18" s="1"/>
    </row>
    <row r="19" spans="1:9" x14ac:dyDescent="0.45">
      <c r="A19" s="1"/>
      <c r="B19" s="96" t="s">
        <v>84</v>
      </c>
      <c r="C19" s="97"/>
      <c r="D19" s="97"/>
      <c r="E19" s="97"/>
      <c r="F19" s="98"/>
      <c r="G19" s="24">
        <v>271104.15620247996</v>
      </c>
      <c r="H19" s="14" t="s">
        <v>3</v>
      </c>
      <c r="I19" s="1"/>
    </row>
    <row r="20" spans="1:9" x14ac:dyDescent="0.45">
      <c r="A20" s="1"/>
      <c r="B20" s="99" t="s">
        <v>85</v>
      </c>
      <c r="C20" s="100"/>
      <c r="D20" s="100"/>
      <c r="E20" s="100"/>
      <c r="F20" s="101"/>
      <c r="G20" s="24">
        <f>G18*'Fane 14. Nøgletal'!C19+G19*'Fane 14. Nøgletal'!C20</f>
        <v>572670.1874503399</v>
      </c>
      <c r="H20" s="14" t="s">
        <v>3</v>
      </c>
      <c r="I20" s="1"/>
    </row>
    <row r="21" spans="1:9" x14ac:dyDescent="0.45">
      <c r="A21" s="1"/>
      <c r="B21" s="37"/>
      <c r="C21" s="38"/>
      <c r="D21" s="38"/>
      <c r="E21" s="38"/>
      <c r="F21" s="38"/>
      <c r="G21" s="38"/>
      <c r="H21" s="20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02" t="s">
        <v>86</v>
      </c>
      <c r="C23" s="103"/>
      <c r="D23" s="103"/>
      <c r="E23" s="103"/>
      <c r="F23" s="103"/>
      <c r="G23" s="103"/>
      <c r="H23" s="104"/>
      <c r="I23" s="1"/>
    </row>
    <row r="24" spans="1:9" x14ac:dyDescent="0.45">
      <c r="A24" s="1"/>
      <c r="B24" s="99" t="s">
        <v>87</v>
      </c>
      <c r="C24" s="100"/>
      <c r="D24" s="100"/>
      <c r="E24" s="100"/>
      <c r="F24" s="101"/>
      <c r="G24" s="24">
        <f>G18*(1-'Fane 14. Nøgletal'!C19)*(1+'Fane 14. Nøgletal'!C10)+G19*(1-'Fane 14. Nøgletal'!C20)*(1+'Fane 14. Nøgletal'!C11)</f>
        <v>32477855.991806205</v>
      </c>
      <c r="H24" s="14" t="s">
        <v>3</v>
      </c>
      <c r="I24" s="1"/>
    </row>
    <row r="25" spans="1:9" x14ac:dyDescent="0.45">
      <c r="A25" s="1"/>
      <c r="B25" s="105" t="s">
        <v>177</v>
      </c>
      <c r="C25" s="97"/>
      <c r="D25" s="97"/>
      <c r="E25" s="97"/>
      <c r="F25" s="98"/>
      <c r="G25" s="24">
        <f>G19*(1-'Fane 14. Nøgletal'!C20)*(1+'Fane 14. Nøgletal'!C11)</f>
        <v>273287.34983925382</v>
      </c>
      <c r="H25" s="14" t="s">
        <v>3</v>
      </c>
      <c r="I25" s="1"/>
    </row>
    <row r="26" spans="1:9" x14ac:dyDescent="0.45">
      <c r="A26" s="1"/>
      <c r="B26" s="96" t="s">
        <v>88</v>
      </c>
      <c r="C26" s="97"/>
      <c r="D26" s="97"/>
      <c r="E26" s="97"/>
      <c r="F26" s="98"/>
      <c r="G26" s="24">
        <v>367168.80577813921</v>
      </c>
      <c r="H26" s="14" t="s">
        <v>3</v>
      </c>
      <c r="I26" s="1"/>
    </row>
    <row r="27" spans="1:9" x14ac:dyDescent="0.45">
      <c r="A27" s="1"/>
      <c r="B27" s="99" t="s">
        <v>89</v>
      </c>
      <c r="C27" s="100"/>
      <c r="D27" s="100"/>
      <c r="E27" s="100"/>
      <c r="F27" s="101"/>
      <c r="G27" s="24">
        <f>(G24-G25)*'Fane 14. Nøgletal'!C19+G25*'Fane 14. Nøgletal'!C20+G26*'Fane 14. Nøgletal'!C21</f>
        <v>582826.05899051577</v>
      </c>
      <c r="H27" s="14" t="s">
        <v>3</v>
      </c>
      <c r="I27" s="1"/>
    </row>
    <row r="28" spans="1:9" x14ac:dyDescent="0.45">
      <c r="A28" s="1"/>
      <c r="B28" s="37"/>
      <c r="C28" s="38"/>
      <c r="D28" s="38"/>
      <c r="E28" s="38"/>
      <c r="F28" s="38"/>
      <c r="G28" s="38"/>
      <c r="H28" s="20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02" t="s">
        <v>90</v>
      </c>
      <c r="C30" s="103"/>
      <c r="D30" s="103"/>
      <c r="E30" s="103"/>
      <c r="F30" s="103"/>
      <c r="G30" s="103"/>
      <c r="H30" s="104"/>
      <c r="I30" s="1"/>
    </row>
    <row r="31" spans="1:9" x14ac:dyDescent="0.45">
      <c r="A31" s="1"/>
      <c r="B31" s="99" t="s">
        <v>91</v>
      </c>
      <c r="C31" s="100"/>
      <c r="D31" s="100"/>
      <c r="E31" s="100"/>
      <c r="F31" s="101"/>
      <c r="G31" s="24">
        <f>(G24-G25)*(1-'Fane 14. Nøgletal'!C19)*(1+'Fane 14. Nøgletal'!C10)+G25*(1-'Fane 14. Nøgletal'!C20)*(1+'Fane 14. Nøgletal'!C11)+G26*(1-'Fane 14. Nøgletal'!C21)*(1+'Fane 14. Nøgletal'!C12)</f>
        <v>32827409.50133501</v>
      </c>
      <c r="H31" s="14" t="s">
        <v>3</v>
      </c>
      <c r="I31" s="1"/>
    </row>
    <row r="32" spans="1:9" x14ac:dyDescent="0.45">
      <c r="A32" s="1"/>
      <c r="B32" s="105" t="s">
        <v>178</v>
      </c>
      <c r="C32" s="97"/>
      <c r="D32" s="97"/>
      <c r="E32" s="97"/>
      <c r="F32" s="98"/>
      <c r="G32" s="24">
        <f>G25*(1-'Fane 14. Nøgletal'!C20)*(1+'Fane 14. Nøgletal'!C11)</f>
        <v>275488.12466888881</v>
      </c>
      <c r="H32" s="14" t="s">
        <v>3</v>
      </c>
      <c r="I32" s="1"/>
    </row>
    <row r="33" spans="1:9" x14ac:dyDescent="0.45">
      <c r="A33" s="1"/>
      <c r="B33" s="105" t="s">
        <v>179</v>
      </c>
      <c r="C33" s="97"/>
      <c r="D33" s="97"/>
      <c r="E33" s="97"/>
      <c r="F33" s="98"/>
      <c r="G33" s="24">
        <f>G26*(1-'Fane 14. Nøgletal'!C21)*(1+'Fane 14. Nøgletal'!C12)</f>
        <v>363769.01356441266</v>
      </c>
      <c r="H33" s="14" t="s">
        <v>3</v>
      </c>
      <c r="I33" s="1"/>
    </row>
    <row r="34" spans="1:9" x14ac:dyDescent="0.45">
      <c r="A34" s="1"/>
      <c r="B34" s="99" t="s">
        <v>244</v>
      </c>
      <c r="C34" s="100"/>
      <c r="D34" s="100"/>
      <c r="E34" s="100"/>
      <c r="F34" s="101"/>
      <c r="G34" s="24">
        <f>SUM('Fane 2.1. Økonomisk ramme 2021'!C15,'Fane 2.1. Økonomisk ramme 2021'!C17,'Fane 2.1. Økonomisk ramme 2021'!C19)*(1+'Fane 14. Nøgletal'!C13)</f>
        <v>711849.58147772332</v>
      </c>
      <c r="H34" s="14" t="s">
        <v>3</v>
      </c>
      <c r="I34" s="1"/>
    </row>
    <row r="35" spans="1:9" x14ac:dyDescent="0.45">
      <c r="A35" s="1"/>
      <c r="B35" s="99" t="s">
        <v>92</v>
      </c>
      <c r="C35" s="100"/>
      <c r="D35" s="100"/>
      <c r="E35" s="100"/>
      <c r="F35" s="101"/>
      <c r="G35" s="24">
        <f>(G31-SUM(G32:G33))*'Fane 14. Nøgletal'!C19+G32*'Fane 14. Nøgletal'!C20+G33*'Fane 14. Nøgletal'!C21+G34*'Fane 14. Nøgletal'!C22</f>
        <v>602033.94698738633</v>
      </c>
      <c r="H35" s="14" t="s">
        <v>3</v>
      </c>
      <c r="I35" s="1"/>
    </row>
    <row r="36" spans="1:9" x14ac:dyDescent="0.45">
      <c r="A36" s="1"/>
      <c r="B36" s="37"/>
      <c r="C36" s="38"/>
      <c r="D36" s="38"/>
      <c r="E36" s="38"/>
      <c r="F36" s="38"/>
      <c r="G36" s="38"/>
      <c r="H36" s="20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02" t="s">
        <v>101</v>
      </c>
      <c r="C38" s="103"/>
      <c r="D38" s="103"/>
      <c r="E38" s="103"/>
      <c r="F38" s="103"/>
      <c r="G38" s="103"/>
      <c r="H38" s="104"/>
      <c r="I38" s="1"/>
    </row>
    <row r="39" spans="1:9" x14ac:dyDescent="0.45">
      <c r="A39" s="1"/>
      <c r="B39" s="99" t="s">
        <v>96</v>
      </c>
      <c r="C39" s="100"/>
      <c r="D39" s="100"/>
      <c r="E39" s="100"/>
      <c r="F39" s="101"/>
      <c r="G39" s="24">
        <f>(SUM(G31,G34)-G35)*(1+'Fane 14. Nøgletal'!C13)</f>
        <v>33339059.282482415</v>
      </c>
      <c r="H39" s="14" t="s">
        <v>3</v>
      </c>
      <c r="I39" s="1"/>
    </row>
    <row r="40" spans="1:9" x14ac:dyDescent="0.45">
      <c r="A40" s="1"/>
      <c r="B40" s="99" t="s">
        <v>119</v>
      </c>
      <c r="C40" s="100"/>
      <c r="D40" s="100"/>
      <c r="E40" s="100"/>
      <c r="F40" s="101"/>
      <c r="G40" s="24">
        <f>-'Fane 13. Bortfald'!E18*(1+'Fane 14. Nøgletal'!C13)</f>
        <v>0</v>
      </c>
      <c r="H40" s="14" t="s">
        <v>3</v>
      </c>
      <c r="I40" s="1"/>
    </row>
    <row r="41" spans="1:9" x14ac:dyDescent="0.45">
      <c r="A41" s="1"/>
      <c r="B41" s="99" t="s">
        <v>93</v>
      </c>
      <c r="C41" s="100"/>
      <c r="D41" s="100"/>
      <c r="E41" s="100"/>
      <c r="F41" s="101"/>
      <c r="G41" s="24">
        <f>(G39+G40)*'Fane 14. Nøgletal'!C22</f>
        <v>916824.13026826642</v>
      </c>
      <c r="H41" s="14" t="s">
        <v>3</v>
      </c>
      <c r="I41" s="1"/>
    </row>
    <row r="42" spans="1:9" x14ac:dyDescent="0.45">
      <c r="A42" s="1"/>
      <c r="B42" s="37"/>
      <c r="C42" s="38"/>
      <c r="D42" s="38"/>
      <c r="E42" s="38"/>
      <c r="F42" s="38"/>
      <c r="G42" s="38"/>
      <c r="H42" s="20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02" t="s">
        <v>102</v>
      </c>
      <c r="C44" s="103"/>
      <c r="D44" s="103"/>
      <c r="E44" s="103"/>
      <c r="F44" s="103"/>
      <c r="G44" s="103"/>
      <c r="H44" s="104"/>
      <c r="I44" s="1"/>
    </row>
    <row r="45" spans="1:9" x14ac:dyDescent="0.45">
      <c r="A45" s="1"/>
      <c r="B45" s="99" t="s">
        <v>95</v>
      </c>
      <c r="C45" s="100"/>
      <c r="D45" s="100"/>
      <c r="E45" s="100"/>
      <c r="F45" s="101"/>
      <c r="G45" s="24">
        <f>(G39+G40-G41)*(1+'Fane 14. Nøgletal'!C13)</f>
        <v>32817786.421071161</v>
      </c>
      <c r="H45" s="14" t="s">
        <v>3</v>
      </c>
      <c r="I45" s="1"/>
    </row>
    <row r="46" spans="1:9" x14ac:dyDescent="0.45">
      <c r="A46" s="1"/>
      <c r="B46" s="99" t="s">
        <v>120</v>
      </c>
      <c r="C46" s="100"/>
      <c r="D46" s="100"/>
      <c r="E46" s="100"/>
      <c r="F46" s="101"/>
      <c r="G46" s="24">
        <f>-'Fane 13. Bortfald'!E24*(1+'Fane 14. Nøgletal'!C13)</f>
        <v>0</v>
      </c>
      <c r="H46" s="14" t="s">
        <v>3</v>
      </c>
      <c r="I46" s="1"/>
    </row>
    <row r="47" spans="1:9" x14ac:dyDescent="0.45">
      <c r="A47" s="1"/>
      <c r="B47" s="99" t="s">
        <v>94</v>
      </c>
      <c r="C47" s="100"/>
      <c r="D47" s="100"/>
      <c r="E47" s="100"/>
      <c r="F47" s="101"/>
      <c r="G47" s="24">
        <f>(G45+G46)*'Fane 14. Nøgletal'!C22</f>
        <v>902489.12657945696</v>
      </c>
      <c r="H47" s="14" t="s">
        <v>3</v>
      </c>
      <c r="I47" s="1"/>
    </row>
    <row r="48" spans="1:9" x14ac:dyDescent="0.45">
      <c r="A48" s="1"/>
      <c r="B48" s="37"/>
      <c r="C48" s="38"/>
      <c r="D48" s="38"/>
      <c r="E48" s="38"/>
      <c r="F48" s="38"/>
      <c r="G48" s="38"/>
      <c r="H48" s="20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5">
      <c r="A51" s="1"/>
      <c r="B51" s="102" t="s">
        <v>245</v>
      </c>
      <c r="C51" s="103"/>
      <c r="D51" s="103"/>
      <c r="E51" s="103"/>
      <c r="F51" s="103"/>
      <c r="G51" s="103"/>
      <c r="H51" s="104"/>
      <c r="I51" s="1"/>
    </row>
    <row r="52" spans="1:9" x14ac:dyDescent="0.45">
      <c r="A52" s="1"/>
      <c r="B52" s="99" t="s">
        <v>246</v>
      </c>
      <c r="C52" s="100"/>
      <c r="D52" s="100"/>
      <c r="E52" s="100"/>
      <c r="F52" s="101"/>
      <c r="G52" s="24">
        <f>(G45+G46-G47)*(1+'Fane 14. Nøgletal'!C13)</f>
        <v>32304663.921484504</v>
      </c>
      <c r="H52" s="14" t="s">
        <v>3</v>
      </c>
      <c r="I52" s="1"/>
    </row>
    <row r="53" spans="1:9" x14ac:dyDescent="0.45">
      <c r="A53" s="1"/>
      <c r="B53" s="99" t="s">
        <v>247</v>
      </c>
      <c r="C53" s="100"/>
      <c r="D53" s="100"/>
      <c r="E53" s="100"/>
      <c r="F53" s="101"/>
      <c r="G53" s="24">
        <f>-'Fane 13. Bortfald'!E30*(1+'Fane 14. Nøgletal'!C13)</f>
        <v>0</v>
      </c>
      <c r="H53" s="14" t="s">
        <v>3</v>
      </c>
      <c r="I53" s="1"/>
    </row>
    <row r="54" spans="1:9" x14ac:dyDescent="0.45">
      <c r="A54" s="1"/>
      <c r="B54" s="99" t="s">
        <v>248</v>
      </c>
      <c r="C54" s="100"/>
      <c r="D54" s="100"/>
      <c r="E54" s="100"/>
      <c r="F54" s="101"/>
      <c r="G54" s="24">
        <f>(G52+G53)*'Fane 14. Nøgletal'!C22</f>
        <v>888378.25784082385</v>
      </c>
      <c r="H54" s="14" t="s">
        <v>3</v>
      </c>
      <c r="I54" s="1"/>
    </row>
    <row r="55" spans="1:9" x14ac:dyDescent="0.45">
      <c r="A55" s="1"/>
      <c r="B55" s="37"/>
      <c r="C55" s="38"/>
      <c r="D55" s="38"/>
      <c r="E55" s="38"/>
      <c r="F55" s="38"/>
      <c r="G55" s="38"/>
      <c r="H55" s="20"/>
      <c r="I55" s="1"/>
    </row>
    <row r="56" spans="1:9" x14ac:dyDescent="0.4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Id6Hmf5CLZ2zpIaNvLTQBNDqgGSpJ+wRz/4JEDl3LAUcSQC6HTmbNDcMc9TfMmXMjsMr2bLBCtLVlp6JVVBxng==" saltValue="bhsU2XDKa6ZnJlPaDAKvKQ==" spinCount="100000" sheet="1" objects="1" scenarios="1"/>
  <mergeCells count="36">
    <mergeCell ref="B46:F46"/>
    <mergeCell ref="B24:F24"/>
    <mergeCell ref="B26:F26"/>
    <mergeCell ref="B27:F27"/>
    <mergeCell ref="B41:F41"/>
    <mergeCell ref="B44:H44"/>
    <mergeCell ref="B45:F45"/>
    <mergeCell ref="B30:H30"/>
    <mergeCell ref="B31:F31"/>
    <mergeCell ref="B35:F35"/>
    <mergeCell ref="B38:H38"/>
    <mergeCell ref="B34:F34"/>
    <mergeCell ref="B25:F25"/>
    <mergeCell ref="B53:F53"/>
    <mergeCell ref="B52:F52"/>
    <mergeCell ref="B54:F54"/>
    <mergeCell ref="B2:H3"/>
    <mergeCell ref="B40:F40"/>
    <mergeCell ref="B51:H51"/>
    <mergeCell ref="B32:F32"/>
    <mergeCell ref="B33:F33"/>
    <mergeCell ref="B39:F39"/>
    <mergeCell ref="B47:F47"/>
    <mergeCell ref="B20:F20"/>
    <mergeCell ref="B5:H5"/>
    <mergeCell ref="B6:F6"/>
    <mergeCell ref="B7:F7"/>
    <mergeCell ref="B10:H10"/>
    <mergeCell ref="B12:F12"/>
    <mergeCell ref="B11:F11"/>
    <mergeCell ref="B13:F13"/>
    <mergeCell ref="B14:F14"/>
    <mergeCell ref="B18:F18"/>
    <mergeCell ref="B23:H23"/>
    <mergeCell ref="B17:H17"/>
    <mergeCell ref="B19:F1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7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265625" style="2" customWidth="1"/>
    <col min="8" max="8" width="3.2656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2" t="s">
        <v>113</v>
      </c>
      <c r="C3" s="72"/>
      <c r="D3" s="72"/>
      <c r="E3" s="72"/>
      <c r="F3" s="72"/>
      <c r="G3" s="72"/>
      <c r="H3" s="72"/>
      <c r="I3" s="1"/>
    </row>
    <row r="4" spans="1:9" ht="15" customHeight="1" x14ac:dyDescent="0.4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102" t="s">
        <v>10</v>
      </c>
      <c r="C8" s="103"/>
      <c r="D8" s="103"/>
      <c r="E8" s="103"/>
      <c r="F8" s="103"/>
      <c r="G8" s="103"/>
      <c r="H8" s="104"/>
      <c r="I8" s="1"/>
    </row>
    <row r="9" spans="1:9" x14ac:dyDescent="0.45">
      <c r="A9" s="1"/>
      <c r="B9" s="99" t="s">
        <v>103</v>
      </c>
      <c r="C9" s="100"/>
      <c r="D9" s="100"/>
      <c r="E9" s="100"/>
      <c r="F9" s="101"/>
      <c r="G9" s="23">
        <v>3.3586395424080491E-3</v>
      </c>
      <c r="H9" s="14"/>
      <c r="I9" s="1"/>
    </row>
    <row r="10" spans="1:9" x14ac:dyDescent="0.45">
      <c r="A10" s="1"/>
      <c r="B10" s="99" t="s">
        <v>148</v>
      </c>
      <c r="C10" s="100"/>
      <c r="D10" s="100"/>
      <c r="E10" s="100"/>
      <c r="F10" s="101"/>
      <c r="G10" s="23">
        <v>0</v>
      </c>
      <c r="H10" s="14"/>
      <c r="I10" s="1"/>
    </row>
    <row r="11" spans="1:9" x14ac:dyDescent="0.45">
      <c r="A11" s="1"/>
      <c r="B11" s="37"/>
      <c r="C11" s="38"/>
      <c r="D11" s="38"/>
      <c r="E11" s="38"/>
      <c r="F11" s="38"/>
      <c r="G11" s="38"/>
      <c r="H11" s="20"/>
      <c r="I11" s="1"/>
    </row>
    <row r="12" spans="1:9" ht="40.5" customHeight="1" x14ac:dyDescent="0.45">
      <c r="A12" s="1"/>
      <c r="B12" s="74" t="s">
        <v>152</v>
      </c>
      <c r="C12" s="75"/>
      <c r="D12" s="75"/>
      <c r="E12" s="75"/>
      <c r="F12" s="75"/>
      <c r="G12" s="75"/>
      <c r="H12" s="76"/>
      <c r="I12" s="1"/>
    </row>
    <row r="13" spans="1:9" ht="30.75" customHeight="1" x14ac:dyDescent="0.45">
      <c r="A13" s="18"/>
      <c r="B13" s="109"/>
      <c r="C13" s="109"/>
      <c r="D13" s="109"/>
      <c r="E13" s="109"/>
      <c r="F13" s="109"/>
      <c r="G13" s="109"/>
      <c r="H13" s="109"/>
      <c r="I13" s="18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0u+e/P5lnNHeWBhOVGi72FdzRzWGf1yMiWU8f8Tf0R3bmRUuesQk+pJjVEeJHdBB2tW8yduwZUAl0h6bvTT8eA==" saltValue="FzivaxpshjcfsjiCB66PHw==" spinCount="100000" sheet="1" objects="1" scenarios="1"/>
  <mergeCells count="6">
    <mergeCell ref="B3:H4"/>
    <mergeCell ref="B13:H13"/>
    <mergeCell ref="B9:F9"/>
    <mergeCell ref="B8:H8"/>
    <mergeCell ref="B10:F10"/>
    <mergeCell ref="B12:H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Korrektion af ØR2019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2020-09-08T07:49:45Z</dcterms:modified>
</cp:coreProperties>
</file>