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Novafos Vand Gladsaxe AS (V065)\ØR2027\"/>
    </mc:Choice>
  </mc:AlternateContent>
  <xr:revisionPtr revIDLastSave="0" documentId="13_ncr:1_{20E75932-67EE-45C3-9A51-CD8640A3E844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tillæg'!$A$1:$G$21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tillæg'!$A$1:$G$21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tillæg'!$B$8:$F$19</definedName>
    <definedName name="VarigeTillæg_Tabel_KS">'5.2. Varige tillæg'!$B$17</definedName>
    <definedName name="VarigeTillæg_Tabel_SletSmå">'5.2. Varige tillæg'!$B$16:$F$16</definedName>
    <definedName name="VarigeTillæg_Tabel_Værdi">'5.2. Varige tillæg'!$B$15</definedName>
    <definedName name="VarigeTillæg_Tabel_Værdi_korr">'5.2. Varige tillæg'!$B$19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5" i="9"/>
  <c r="E16" i="9" s="1"/>
  <c r="C15" i="9"/>
  <c r="C17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C10" i="7" s="1"/>
  <c r="E9" i="8"/>
  <c r="C25" i="7"/>
  <c r="C18" i="3" s="1"/>
  <c r="C16" i="6"/>
  <c r="C13" i="3" l="1"/>
  <c r="C16" i="12"/>
  <c r="C20" i="3" s="1"/>
  <c r="C12" i="11"/>
  <c r="C19" i="3" s="1"/>
  <c r="C9" i="7"/>
  <c r="C20" i="7" s="1"/>
  <c r="C11" i="4" s="1"/>
  <c r="C12" i="4" s="1"/>
  <c r="C15" i="4" s="1"/>
  <c r="C19" i="4" s="1"/>
  <c r="C24" i="4" s="1"/>
  <c r="C12" i="3"/>
  <c r="C16" i="9"/>
  <c r="C18" i="9" s="1"/>
  <c r="C19" i="9" s="1"/>
  <c r="E17" i="9"/>
  <c r="E18" i="9" s="1"/>
  <c r="E19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<sst xmlns="http://schemas.openxmlformats.org/spreadsheetml/2006/main" count="332" uniqueCount="158">
  <si>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</si>
  <si>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</si>
  <si>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</si>
  <si>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</si>
  <si>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</si>
  <si>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</si>
  <si>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</si>
  <si>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</si>
  <si>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</si>
  <si>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</si>
  <si>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</si>
  <si>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</si>
  <si>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</si>
  <si>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</si>
  <si>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</si>
  <si>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</si>
  <si>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</si>
  <si>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</si>
  <si>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</si>
  <si>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</si>
  <si>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</si>
  <si>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</si>
  <si>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</si>
  <si>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</si>
  <si>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</si>
  <si>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</si>
  <si>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</si>
  <si>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</si>
  <si>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</si>
  <si>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</si>
  <si>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</si>
  <si>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</si>
  <si>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</si>
  <si>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</si>
  <si>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</si>
  <si>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</si>
  <si>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</si>
  <si>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</si>
  <si>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</si>
  <si>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</si>
  <si>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</si>
  <si>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</si>
  <si>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</si>
  <si>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</si>
  <si>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</si>
  <si>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</si>
  <si>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</si>
  <si>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</si>
  <si>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</si>
  <si>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</si>
  <si>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</si>
  <si>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</si>
  <si>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</si>
  <si>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</si>
  <si>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</si>
  <si>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</si>
  <si>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</si>
  <si>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</si>
  <si>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</si>
  <si>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</si>
  <si>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</si>
  <si>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</si>
  <si>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</si>
  <si>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</si>
  <si>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</si>
  <si>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</si>
  <si>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</si>
  <si>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</si>
  <si>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</si>
  <si>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</si>
  <si>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</si>
  <si>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</si>
  <si>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</si>
  <si>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</si>
  <si>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</si>
  <si>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</si>
  <si>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</si>
  <si>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</si>
  <si>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</si>
  <si>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</si>
  <si>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</si>
  <si>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</si>
  <si>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</si>
  <si>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</si>
  <si>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</si>
  <si>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</si>
  <si>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</si>
  <si>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</si>
  <si>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</si>
  <si>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</si>
  <si>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</si>
  <si>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</si>
  <si>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</si>
  <si>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</si>
  <si>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</si>
  <si>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</si>
  <si>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</si>
  <si>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</si>
  <si>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</si>
  <si>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</si>
  <si>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</si>
  <si>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</si>
  <si>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</si>
  <si>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</si>
  <si>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</si>
  <si>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</si>
  <si>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</si>
  <si>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</si>
  <si>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</si>
  <si>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</si>
  <si>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</si>
  <si>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</si>
  <si>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</si>
  <si>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</si>
  <si>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</si>
  <si>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</si>
  <si>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</si>
  <si>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</si>
  <si>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</si>
  <si>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</si>
  <si>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</si>
  <si>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</si>
  <si>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</si>
  <si>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</si>
  <si>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</si>
  <si>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</si>
  <si>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</si>
  <si>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</si>
  <si>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</si>
  <si>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</si>
  <si>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</si>
  <si>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</si>
  <si>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</si>
  <si>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</si>
  <si>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</si>
  <si>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</si>
  <si>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</si>
  <si>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</si>
  <si>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</si>
  <si>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</si>
  <si>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</si>
  <si>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</si>
  <si>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</si>
  <si>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</si>
  <si>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</si>
  <si>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</si>
  <si>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</si>
  <si>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</si>
  <si>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</si>
  <si>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Ignition 2024 og 2025</t>
  </si>
  <si>
    <t>Letbanen</t>
  </si>
  <si>
    <t>Renter 2024</t>
  </si>
  <si>
    <t>Stiketablering</t>
  </si>
  <si>
    <t>BNBO Grundvandsbeskyttelse</t>
  </si>
  <si>
    <t>CSRD og bæredygtighed</t>
  </si>
  <si>
    <t>Energiledelse</t>
  </si>
  <si>
    <t>Nedsættelse ibm. fjernaflæste målere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</si>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</sst>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U7xuPulFmSL8dqbqXOheh0mWM5H4f+HzXQdyDI30lqmvhSlswSwGJ7pu+JFXuq/ogr7KvQIx24lx677+KOl6Rw==" saltValue="CfzOudY25x/YtuwHER5Bj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40156693.573553354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tillæg'!C19+'5.2. Varige tillæg'!E19</f>
        <v>140079.83100000001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-955977.68152825115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-511028.69181428943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-393669.64237485558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495825.65631598386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38931923.045151941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38931923.045151941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rb8pitlgRg6gki84RmJrencEavHRLMurU03GQwxuVJRlAXZMtTaRN6YOKVYo4mVY2+FvJN+jkH2k6bPagz3O8A==" saltValue="G7XdvYPxGb18GBV8IBLNG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82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83</v>
      </c>
      <c r="C8" s="26"/>
      <c r="D8" s="27"/>
      <c r="E8" s="11"/>
    </row>
    <row r="9" spans="1:5" ht="15" customHeight="1" x14ac:dyDescent="0.25">
      <c r="A9" s="11"/>
      <c r="B9" s="44" t="s">
        <v>127</v>
      </c>
      <c r="C9" s="45">
        <v>67089568</v>
      </c>
      <c r="D9" s="46" t="s">
        <v>31</v>
      </c>
      <c r="E9" s="11"/>
    </row>
    <row r="10" spans="1:5" ht="15" customHeight="1" x14ac:dyDescent="0.25">
      <c r="A10" s="11"/>
      <c r="B10" s="44" t="s">
        <v>129</v>
      </c>
      <c r="C10" s="45">
        <f>'3. Omk. i ØR2026'!C10</f>
        <v>136615.230366</v>
      </c>
      <c r="D10" s="46" t="s">
        <v>31</v>
      </c>
      <c r="E10" s="11"/>
    </row>
    <row r="11" spans="1:5" ht="15" customHeight="1" x14ac:dyDescent="0.25">
      <c r="A11" s="11"/>
      <c r="B11" s="44" t="s">
        <v>130</v>
      </c>
      <c r="C11" s="47">
        <f>'5.1. § 10-tillæg'!C20+'5.2. Varige tillæg'!C15+'5.2. Varige tillæg'!E15+'5.3. Engangstillæg'!C13+'5.3. Engangstillæg'!E13</f>
        <v>2014574.0665606295</v>
      </c>
      <c r="D11" s="46" t="s">
        <v>31</v>
      </c>
      <c r="E11" s="11"/>
    </row>
    <row r="12" spans="1:5" ht="15" customHeight="1" x14ac:dyDescent="0.25">
      <c r="A12" s="11"/>
      <c r="B12" s="35" t="s">
        <v>128</v>
      </c>
      <c r="C12" s="36">
        <f>C9+C10+C11</f>
        <v>69240757.296926633</v>
      </c>
      <c r="D12" s="37" t="s">
        <v>31</v>
      </c>
      <c r="E12" s="11"/>
    </row>
    <row r="13" spans="1:5" ht="15" customHeight="1" x14ac:dyDescent="0.25">
      <c r="A13" s="11"/>
      <c r="B13" s="44" t="s">
        <v>84</v>
      </c>
      <c r="C13" s="45">
        <v>73767419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131</v>
      </c>
      <c r="C15" s="41">
        <f>C12-C13</f>
        <v>-4526661.7030733675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85</v>
      </c>
      <c r="C17" s="26"/>
      <c r="D17" s="27"/>
      <c r="E17" s="11"/>
    </row>
    <row r="18" spans="1:5" ht="15" customHeight="1" x14ac:dyDescent="0.25">
      <c r="A18" s="11"/>
      <c r="B18" s="44" t="s">
        <v>126</v>
      </c>
      <c r="C18" s="45">
        <v>-1892674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-6419335.7030733675</v>
      </c>
      <c r="D19" s="27" t="s">
        <v>31</v>
      </c>
      <c r="E19" s="11"/>
    </row>
    <row r="20" spans="1:5" ht="49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7.95" customHeight="1" x14ac:dyDescent="0.25">
      <c r="A23" s="11"/>
      <c r="B23" s="52" t="s">
        <v>145</v>
      </c>
      <c r="C23" s="53">
        <f>100*-1892674/(61691797+1760422)</f>
        <v>-2.982833429355717</v>
      </c>
      <c r="D23" s="46" t="s">
        <v>146</v>
      </c>
      <c r="E23" s="11"/>
    </row>
    <row r="24" spans="1:5" ht="27.95" customHeight="1" x14ac:dyDescent="0.25">
      <c r="A24" s="11"/>
      <c r="B24" s="52" t="s">
        <v>147</v>
      </c>
      <c r="C24" s="53">
        <f>C19/C12*100</f>
        <v>-9.2710362417689804</v>
      </c>
      <c r="D24" s="46" t="s">
        <v>146</v>
      </c>
      <c r="E24" s="11"/>
    </row>
    <row r="25" spans="1:5" ht="56.2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Fq2qms/PPk4677fiJPEdWUl0NIUFU/zhcwwOnFWuR5QST7rwGMxgO7axTrHsLoxe/3edWuRoXUOKCgHu1Nb46Q==" saltValue="dQcodVLKLiEIIa9l70RJb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86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134</v>
      </c>
      <c r="C8" s="57"/>
      <c r="D8" s="58"/>
      <c r="E8" s="54"/>
    </row>
    <row r="9" spans="1:5" ht="15" customHeight="1" x14ac:dyDescent="0.25">
      <c r="A9" s="54"/>
      <c r="B9" s="59" t="s">
        <v>121</v>
      </c>
      <c r="C9" s="60">
        <v>37899957.301062666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136615.230366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-376726.73422961298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2496847.7763542975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40156693.573553354</v>
      </c>
      <c r="D17" s="68" t="s">
        <v>31</v>
      </c>
      <c r="E17" s="54"/>
    </row>
    <row r="18" spans="1:5" ht="15" customHeight="1" x14ac:dyDescent="0.25">
      <c r="A18" s="54"/>
      <c r="B18" s="69" t="s">
        <v>122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-2535890.5003380105</v>
      </c>
      <c r="D20" s="74" t="s">
        <v>31</v>
      </c>
      <c r="E20" s="54"/>
    </row>
    <row r="21" spans="1:5" ht="15" customHeight="1" x14ac:dyDescent="0.25">
      <c r="A21" s="54"/>
      <c r="B21" s="59" t="s">
        <v>123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157</v>
      </c>
      <c r="C23" s="75">
        <v>37620803.073215343</v>
      </c>
      <c r="D23" s="58" t="s">
        <v>31</v>
      </c>
      <c r="E23" s="54"/>
    </row>
    <row r="24" spans="1:5" ht="30" customHeight="1" x14ac:dyDescent="0.25">
      <c r="A24" s="54"/>
      <c r="B24" s="76" t="s">
        <v>135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m649BDeA2oI+xVa+6zPwLKgYES5Mp4dPpCvkivazIohtGGpcM8SkC7N6mSt3idk2YBG6Wprnm1Mm1JbN8vUecA==" saltValue="6wT57jrs1tJrfbtZ+Z9WB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87</v>
      </c>
      <c r="C8" s="81"/>
      <c r="D8" s="82"/>
      <c r="E8" s="11"/>
    </row>
    <row r="9" spans="1:5" ht="15" customHeight="1" x14ac:dyDescent="0.25">
      <c r="A9" s="11"/>
      <c r="B9" s="52" t="s">
        <v>88</v>
      </c>
      <c r="C9" s="2">
        <v>20085185.835451815</v>
      </c>
      <c r="D9" s="46" t="s">
        <v>31</v>
      </c>
      <c r="E9" s="11"/>
    </row>
    <row r="10" spans="1:5" ht="15" customHeight="1" x14ac:dyDescent="0.25">
      <c r="A10" s="11"/>
      <c r="B10" s="83" t="s">
        <v>89</v>
      </c>
      <c r="C10" s="3">
        <f>-'8. Nøgletal'!C19*C9</f>
        <v>-401703.71670903632</v>
      </c>
      <c r="D10" s="46" t="s">
        <v>31</v>
      </c>
      <c r="E10" s="11"/>
    </row>
    <row r="11" spans="1:5" ht="15" customHeight="1" x14ac:dyDescent="0.25">
      <c r="A11" s="11"/>
      <c r="B11" s="83" t="s">
        <v>90</v>
      </c>
      <c r="C11" s="2">
        <f>('5.2. Varige tillæg'!C15)*(1+'8.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91</v>
      </c>
      <c r="C12" s="2">
        <f>SUM(C9:C11)</f>
        <v>19683482.118742779</v>
      </c>
      <c r="D12" s="46" t="s">
        <v>31</v>
      </c>
      <c r="E12" s="11"/>
    </row>
    <row r="13" spans="1:5" ht="15" customHeight="1" x14ac:dyDescent="0.25">
      <c r="A13" s="11"/>
      <c r="B13" s="84" t="s">
        <v>92</v>
      </c>
      <c r="C13" s="85">
        <f>-C12*'8. Nøgletal'!C19</f>
        <v>-393669.64237485558</v>
      </c>
      <c r="D13" s="86" t="s">
        <v>31</v>
      </c>
      <c r="E13" s="87"/>
    </row>
    <row r="14" spans="1:5" ht="15" customHeight="1" x14ac:dyDescent="0.25">
      <c r="A14" s="11"/>
      <c r="B14" s="80" t="s">
        <v>93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25050547.372608684</v>
      </c>
      <c r="D15" s="46" t="s">
        <v>31</v>
      </c>
      <c r="E15" s="11"/>
    </row>
    <row r="16" spans="1:5" ht="15" customHeight="1" x14ac:dyDescent="0.25">
      <c r="A16" s="11"/>
      <c r="B16" s="83" t="s">
        <v>89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94</v>
      </c>
      <c r="C17" s="2">
        <f>('5.2. Varige tillæg'!E15)*(1+'8. Nøgletal'!C9)*(1-'8. Nøgletal'!C14)+'5.6 Anlægsprojekter'!E12-'6. Bortfald'!E12+'7. Tilknyttet virksomhed'!E12</f>
        <v>-815897.85052825115</v>
      </c>
      <c r="D17" s="46" t="s">
        <v>31</v>
      </c>
      <c r="E17" s="11"/>
    </row>
    <row r="18" spans="1:5" ht="15" customHeight="1" x14ac:dyDescent="0.25">
      <c r="A18" s="11"/>
      <c r="B18" s="52" t="s">
        <v>95</v>
      </c>
      <c r="C18" s="2">
        <f>SUM(C15:C17)</f>
        <v>24234649.522080433</v>
      </c>
      <c r="D18" s="46" t="s">
        <v>31</v>
      </c>
      <c r="E18" s="11"/>
    </row>
    <row r="19" spans="1:5" ht="15" customHeight="1" x14ac:dyDescent="0.25">
      <c r="A19" s="11"/>
      <c r="B19" s="84" t="s">
        <v>96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97</v>
      </c>
      <c r="C20" s="41">
        <f>C13+C19</f>
        <v>-393669.64237485558</v>
      </c>
      <c r="D20" s="27" t="s">
        <v>31</v>
      </c>
      <c r="E20" s="11"/>
    </row>
    <row r="21" spans="1:5" ht="39.950000000000003" customHeight="1" x14ac:dyDescent="0.25">
      <c r="A21" s="11"/>
      <c r="B21" s="88" t="s">
        <v>124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zwK6/krEmikLGvyYFx119S95LLnRQwwXd7C+5K9vxk1F1xQ8RQq8TGX/nWSar/sBOWjhzkOmNGOQQ/CEHpg/cA==" saltValue="e3iQldAXEi3ry6t0ie7y/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98</v>
      </c>
      <c r="C8" s="92"/>
      <c r="D8" s="93"/>
      <c r="E8" s="11"/>
    </row>
    <row r="9" spans="1:5" ht="15" customHeight="1" x14ac:dyDescent="0.25">
      <c r="A9" s="11"/>
      <c r="B9" s="94" t="s">
        <v>136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137</v>
      </c>
      <c r="C10" s="33">
        <f>'5.1.a. § 10-tillæg'!E10</f>
        <v>9734.0744744099939</v>
      </c>
      <c r="D10" s="46" t="s">
        <v>31</v>
      </c>
      <c r="E10" s="11"/>
    </row>
    <row r="11" spans="1:5" ht="15" customHeight="1" x14ac:dyDescent="0.25">
      <c r="A11" s="11"/>
      <c r="B11" s="94" t="s">
        <v>138</v>
      </c>
      <c r="C11" s="33">
        <f>'5.1.a. § 10-tillæg'!E11</f>
        <v>1416580.9920862196</v>
      </c>
      <c r="D11" s="46" t="s">
        <v>31</v>
      </c>
      <c r="E11" s="11"/>
    </row>
    <row r="12" spans="1:5" ht="15" customHeight="1" x14ac:dyDescent="0.25">
      <c r="A12" s="11"/>
      <c r="B12" s="94" t="s">
        <v>139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140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1426315.0665606295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9vXTHQytOaiiIjUISTvmyJpWARNGCVUy6jM/6ftD/qO8xDWhdozEosJUat8PugJ2ANp268PX39V9SRQotkWyKw==" saltValue="j6rfU1Dmk3RoA0TrgzKAE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99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125</v>
      </c>
      <c r="C8" s="106" t="s">
        <v>100</v>
      </c>
      <c r="D8" s="107" t="s">
        <v>101</v>
      </c>
      <c r="E8" s="107" t="s">
        <v>102</v>
      </c>
      <c r="F8" s="27"/>
      <c r="G8" s="11"/>
    </row>
    <row r="9" spans="1:7" ht="15" customHeight="1" x14ac:dyDescent="0.25">
      <c r="A9" s="11"/>
      <c r="B9" s="94" t="s">
        <v>136</v>
      </c>
      <c r="C9" s="33">
        <v>22591973.605795652</v>
      </c>
      <c r="D9" s="33">
        <v>21435597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137</v>
      </c>
      <c r="C10" s="33">
        <v>127014.92552559001</v>
      </c>
      <c r="D10" s="33">
        <v>136749</v>
      </c>
      <c r="E10" s="33">
        <f t="shared" ref="E10:E19" si="0">MAX(D10-C10,0)</f>
        <v>9734.0744744099939</v>
      </c>
      <c r="F10" s="46" t="s">
        <v>31</v>
      </c>
      <c r="G10" s="11"/>
    </row>
    <row r="11" spans="1:7" ht="15" customHeight="1" x14ac:dyDescent="0.25">
      <c r="A11" s="11"/>
      <c r="B11" s="94" t="s">
        <v>138</v>
      </c>
      <c r="C11" s="33">
        <v>8385300.0079137804</v>
      </c>
      <c r="D11" s="33">
        <v>9801881</v>
      </c>
      <c r="E11" s="33">
        <f t="shared" si="0"/>
        <v>1416580.9920862196</v>
      </c>
      <c r="F11" s="46" t="s">
        <v>31</v>
      </c>
      <c r="G11" s="11"/>
    </row>
    <row r="12" spans="1:7" ht="15" customHeight="1" x14ac:dyDescent="0.25">
      <c r="A12" s="11"/>
      <c r="B12" s="94" t="s">
        <v>139</v>
      </c>
      <c r="C12" s="33">
        <v>194466.05783914999</v>
      </c>
      <c r="D12" s="33">
        <v>141277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5" t="s">
        <v>140</v>
      </c>
      <c r="C13" s="33">
        <v>426746.31833631999</v>
      </c>
      <c r="D13" s="33">
        <v>405696</v>
      </c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103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QbEz8R4hVoQ/s4Qx3HbB+8qzftQxdcdJkVN7j8NtuY841lPZv+8g5uW2PP+8j/Shmmdrw928XGjEXVLefMNDSQ==" saltValue="6GZMMDiy+Cr3XkUTDcyvc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1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149</v>
      </c>
      <c r="C10" s="33">
        <v>0</v>
      </c>
      <c r="D10" s="46" t="s">
        <v>31</v>
      </c>
      <c r="E10" s="33">
        <v>71853</v>
      </c>
      <c r="F10" s="46" t="s">
        <v>31</v>
      </c>
      <c r="G10" s="11"/>
    </row>
    <row r="11" spans="1:7" ht="15" customHeight="1" x14ac:dyDescent="0.25">
      <c r="A11" s="11"/>
      <c r="B11" s="115" t="s">
        <v>150</v>
      </c>
      <c r="C11" s="33">
        <v>0</v>
      </c>
      <c r="D11" s="46" t="s">
        <v>31</v>
      </c>
      <c r="E11" s="33">
        <v>9729</v>
      </c>
      <c r="F11" s="46" t="s">
        <v>31</v>
      </c>
      <c r="G11" s="11"/>
    </row>
    <row r="12" spans="1:7" ht="15" customHeight="1" x14ac:dyDescent="0.25">
      <c r="A12" s="11"/>
      <c r="B12" s="115" t="s">
        <v>151</v>
      </c>
      <c r="C12" s="33">
        <v>0</v>
      </c>
      <c r="D12" s="46" t="s">
        <v>31</v>
      </c>
      <c r="E12" s="33">
        <v>8385</v>
      </c>
      <c r="F12" s="46" t="s">
        <v>31</v>
      </c>
      <c r="G12" s="11"/>
    </row>
    <row r="13" spans="1:7" ht="15" customHeight="1" x14ac:dyDescent="0.25">
      <c r="A13" s="11"/>
      <c r="B13" s="115" t="s">
        <v>151</v>
      </c>
      <c r="C13" s="33">
        <v>0</v>
      </c>
      <c r="D13" s="46" t="s">
        <v>31</v>
      </c>
      <c r="E13" s="33">
        <v>11923</v>
      </c>
      <c r="F13" s="46" t="s">
        <v>31</v>
      </c>
      <c r="G13" s="11"/>
    </row>
    <row r="14" spans="1:7" ht="15" customHeight="1" x14ac:dyDescent="0.25">
      <c r="A14" s="11"/>
      <c r="B14" s="115" t="s">
        <v>152</v>
      </c>
      <c r="C14" s="33">
        <v>0</v>
      </c>
      <c r="D14" s="46" t="s">
        <v>31</v>
      </c>
      <c r="E14" s="33">
        <v>29480</v>
      </c>
      <c r="F14" s="46" t="s">
        <v>31</v>
      </c>
      <c r="G14" s="11"/>
    </row>
    <row r="15" spans="1:7" ht="15" customHeight="1" x14ac:dyDescent="0.25">
      <c r="A15" s="11"/>
      <c r="B15" s="25" t="s">
        <v>104</v>
      </c>
      <c r="C15" s="97">
        <f>SUM(C10:C14)</f>
        <v>0</v>
      </c>
      <c r="D15" s="98" t="s">
        <v>31</v>
      </c>
      <c r="E15" s="97">
        <f>SUM(E10:E14)</f>
        <v>131370</v>
      </c>
      <c r="F15" s="98" t="s">
        <v>31</v>
      </c>
      <c r="G15" s="11"/>
    </row>
    <row r="16" spans="1:7" ht="15" customHeight="1" x14ac:dyDescent="0.25">
      <c r="A16" s="11"/>
      <c r="B16" s="115" t="s">
        <v>35</v>
      </c>
      <c r="C16" s="33">
        <f>-C15*'8. Nøgletal'!C23</f>
        <v>0</v>
      </c>
      <c r="D16" s="46" t="s">
        <v>31</v>
      </c>
      <c r="E16" s="33">
        <f>-E15*'8. Nøgletal'!C23</f>
        <v>0</v>
      </c>
      <c r="F16" s="46" t="s">
        <v>31</v>
      </c>
      <c r="G16" s="11"/>
    </row>
    <row r="17" spans="1:7" ht="15" customHeight="1" x14ac:dyDescent="0.25">
      <c r="A17" s="11"/>
      <c r="B17" s="115" t="s">
        <v>36</v>
      </c>
      <c r="C17" s="33">
        <f>-C15*'8. Nøgletal'!C19</f>
        <v>0</v>
      </c>
      <c r="D17" s="46" t="s">
        <v>31</v>
      </c>
      <c r="E17" s="33">
        <f>-E15*'8. Nøgletal'!C14</f>
        <v>0</v>
      </c>
      <c r="F17" s="46" t="s">
        <v>31</v>
      </c>
      <c r="G17" s="11"/>
    </row>
    <row r="18" spans="1:7" ht="15" customHeight="1" x14ac:dyDescent="0.25">
      <c r="A18" s="11"/>
      <c r="B18" s="115" t="s">
        <v>37</v>
      </c>
      <c r="C18" s="33">
        <f>SUM(C15:C17)*'8. Nøgletal'!C9</f>
        <v>0</v>
      </c>
      <c r="D18" s="46" t="s">
        <v>31</v>
      </c>
      <c r="E18" s="33">
        <f>SUM(E15:E17)*'8. Nøgletal'!C9</f>
        <v>8709.8310000000001</v>
      </c>
      <c r="F18" s="46" t="s">
        <v>31</v>
      </c>
      <c r="G18" s="11"/>
    </row>
    <row r="19" spans="1:7" ht="26.25" customHeight="1" x14ac:dyDescent="0.25">
      <c r="A19" s="11"/>
      <c r="B19" s="105" t="s">
        <v>105</v>
      </c>
      <c r="C19" s="97">
        <f>SUM(C15:C18)</f>
        <v>0</v>
      </c>
      <c r="D19" s="98" t="s">
        <v>31</v>
      </c>
      <c r="E19" s="97">
        <f>SUM(E15:E18)</f>
        <v>140079.83100000001</v>
      </c>
      <c r="F19" s="98" t="s">
        <v>31</v>
      </c>
      <c r="G19" s="11"/>
    </row>
    <row r="20" spans="1:7" ht="15" customHeight="1" x14ac:dyDescent="0.25">
      <c r="A20" s="11"/>
      <c r="B20" s="11"/>
      <c r="C20" s="11"/>
      <c r="D20" s="11"/>
      <c r="E20" s="11"/>
      <c r="F20" s="11"/>
      <c r="G20" s="11"/>
    </row>
    <row r="21" spans="1:7" ht="15" customHeight="1" x14ac:dyDescent="0.25">
      <c r="A21" s="11"/>
      <c r="B21" s="11"/>
      <c r="C21" s="11"/>
      <c r="D21" s="11"/>
      <c r="E21" s="11"/>
      <c r="F21" s="11"/>
      <c r="G21" s="11"/>
    </row>
  </sheetData>
  <sheetProtection algorithmName="SHA-512" hashValue="4Xbf/RkxaIDy7BQUBF0fR3vc9njKZZ7avjYcAa3AEd1iNb7PZvrwpIZVMarbLV1AbDPAUMMXT+DwGlMugVVCUQ==" saltValue="NE7w3BcZUcnqW4HwHaUhi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153</v>
      </c>
      <c r="C10" s="33">
        <v>99159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154</v>
      </c>
      <c r="C11" s="33">
        <v>238717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 t="s">
        <v>155</v>
      </c>
      <c r="C12" s="33">
        <v>119013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25" t="s">
        <v>106</v>
      </c>
      <c r="C13" s="97">
        <f>SUM(C10:C12)</f>
        <v>456889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slzW/6vuGRu7Rp0aCIm23lSYD5K7EhtcOXrGp1mM/NHg6tFsvymXoy6jRa3067mhyz8AD7Bo5ws08A//+L1Lsw==" saltValue="dH2LFrrlZi4GZ1rKpRvd6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107</v>
      </c>
      <c r="C8" s="81"/>
      <c r="D8" s="82"/>
      <c r="E8" s="11"/>
    </row>
    <row r="9" spans="1:5" ht="15" customHeight="1" x14ac:dyDescent="0.25">
      <c r="A9" s="11"/>
      <c r="B9" s="117" t="s">
        <v>108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109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7QwmbzuleYF47YR1fyNsCvjhb0ly7ub+vpyYkGSo/QE/rGbpXLb4V/jUDMb3ERwyhy5dz1itT5Il6y0ywY2Z6g==" saltValue="3GlpAW/4MqQuJhH3ArFR0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110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111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112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141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113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mtSWiDeEzYlCAZhDWdwJz40mogpqa139lWQ9hHqDIx9VqpbReXAX9EUjaEXA8LOTVRDtJII+YTChVwg0Q2PKKQ==" saltValue="wo9Zb5nfa4xrc0hNhBJJB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114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EldESN8hYkRQbSdKXKjHJBHxlvcY6tWW9hBhmYOeP+qIJOlqlJMO4QmDzudEprnK4P6caAdrRQe4PDy0+JiJcQ==" saltValue="GRfRf1ug5h5zdb6cxKGxa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115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156</v>
      </c>
      <c r="C10" s="33">
        <v>0</v>
      </c>
      <c r="D10" s="46" t="s">
        <v>31</v>
      </c>
      <c r="E10" s="33">
        <v>896537.26111624413</v>
      </c>
      <c r="F10" s="46" t="s">
        <v>31</v>
      </c>
      <c r="G10" s="11"/>
    </row>
    <row r="11" spans="1:7" ht="15" customHeight="1" x14ac:dyDescent="0.25">
      <c r="A11" s="11"/>
      <c r="B11" s="25" t="s">
        <v>72</v>
      </c>
      <c r="C11" s="97">
        <f>SUM(C10:C10)</f>
        <v>0</v>
      </c>
      <c r="D11" s="98" t="s">
        <v>31</v>
      </c>
      <c r="E11" s="97">
        <f>SUM(E10:E10)</f>
        <v>896537.26111624413</v>
      </c>
      <c r="F11" s="98" t="s">
        <v>31</v>
      </c>
      <c r="G11" s="11"/>
    </row>
    <row r="12" spans="1:7" ht="15" customHeight="1" x14ac:dyDescent="0.25">
      <c r="A12" s="11"/>
      <c r="B12" s="25" t="s">
        <v>116</v>
      </c>
      <c r="C12" s="97">
        <f>C11*(1+'8. Nøgletal'!C9)</f>
        <v>0</v>
      </c>
      <c r="D12" s="98" t="s">
        <v>31</v>
      </c>
      <c r="E12" s="97">
        <f>E11*(1+'8. Nøgletal'!C9)</f>
        <v>955977.68152825115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ajXa2sfJmf1ier5MZ2iCSnc73Muu39hiK3lD3pQisKXTLlmjq4bjKU4kIzMlzNDCn+8F++ffgDm6vEON7P150w==" saltValue="htBGF6XxMHXXBHsSylZz/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73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74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132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133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117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oHWDFotkr8ENN+ad2qA1NTmms46QjeoIRx2g8KL06Ppl/SjOj6uBH+diLgIg0ywLqeG8b1DApqzZBtLTfBigsA==" saltValue="sGQu010iKwU8eU87n6j71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75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76</v>
      </c>
      <c r="C9" s="4">
        <v>6.6299999999999998E-2</v>
      </c>
      <c r="D9" s="22"/>
    </row>
    <row r="10" spans="1:4" ht="15" customHeight="1" x14ac:dyDescent="0.25">
      <c r="A10" s="11"/>
      <c r="B10" s="133" t="s">
        <v>118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77</v>
      </c>
      <c r="C13" s="27"/>
      <c r="D13" s="11"/>
    </row>
    <row r="14" spans="1:4" ht="15" customHeight="1" x14ac:dyDescent="0.25">
      <c r="A14" s="11"/>
      <c r="B14" s="133" t="s">
        <v>78</v>
      </c>
      <c r="C14" s="5">
        <v>0</v>
      </c>
      <c r="D14" s="22"/>
    </row>
    <row r="15" spans="1:4" ht="15" customHeight="1" x14ac:dyDescent="0.25">
      <c r="A15" s="11"/>
      <c r="B15" s="133" t="s">
        <v>119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79</v>
      </c>
      <c r="C18" s="27"/>
      <c r="D18" s="11"/>
    </row>
    <row r="19" spans="1:4" ht="15" customHeight="1" x14ac:dyDescent="0.25">
      <c r="A19" s="11"/>
      <c r="B19" s="101" t="s">
        <v>80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81</v>
      </c>
      <c r="C23" s="8">
        <v>0</v>
      </c>
      <c r="D23" s="22"/>
    </row>
    <row r="24" spans="1:4" ht="15" customHeight="1" x14ac:dyDescent="0.25">
      <c r="A24" s="11"/>
      <c r="B24" s="44" t="s">
        <v>120</v>
      </c>
      <c r="C24" s="8">
        <v>1.2989790430578355E-2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03oLYCCLp086ghrEIPj6aETxkST2ZEzcPgFXgnm6WIR2PWimdvnw03cbiQbGJ5bh9AaLNLPuSsOUZWk/EXeSUw==" saltValue="YvVj18wsfQXlonrDyZR0E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2026-10-01T12:30:47Z</dcterms:modified>
</cp:coreProperties>
</file>