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K-Spildevand AS (S072)\ØR2022\"/>
    </mc:Choice>
  </mc:AlternateContent>
  <xr:revisionPtr revIDLastSave="0" documentId="13_ncr:1_{610809CE-FDA1-442E-91FA-B59FC2AFB988}" xr6:coauthVersionLast="36" xr6:coauthVersionMax="36" xr10:uidLastSave="{00000000-0000-0000-0000-000000000000}"/>
  <workbookProtection workbookAlgorithmName="SHA-512" workbookHashValue="O74HbvMaXC4mauGF9ATfFe4w3Bfd0GdkgA0HUcKrmWX8csVMqwutstBKePPEVSGHBAziF7IwSEX1CaemmLAWAg==" workbookSaltValue="3SedGeKqvFrGTBCjqP7Kxg==" workbookSpinCount="100000" lockStructure="1"/>
  <bookViews>
    <workbookView xWindow="3105" yWindow="990" windowWidth="12735" windowHeight="4620" tabRatio="872" xr2:uid="{00000000-000D-0000-FFFF-FFFF00000000}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91029"/>
</workbook>
</file>

<file path=xl/calcChain.xml><?xml version="1.0" encoding="utf-8"?>
<calcChain xmlns="http://schemas.openxmlformats.org/spreadsheetml/2006/main">
  <c r="C16" i="19" l="1"/>
  <c r="C17" i="19"/>
  <c r="E16" i="40" l="1"/>
  <c r="E12" i="40"/>
  <c r="E26" i="32" l="1"/>
  <c r="E32" i="32" l="1"/>
  <c r="E34" i="32" s="1"/>
  <c r="C26" i="15" l="1"/>
  <c r="C30" i="2"/>
  <c r="E28" i="20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5" i="37" s="1"/>
  <c r="C16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8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5" i="37" s="1"/>
  <c r="E16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<sst xmlns="http://schemas.openxmlformats.org/spreadsheetml/2006/main" count="721" uniqueCount="293">
  <si>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</si>
  <si>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</si>
  <si>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</si>
  <si>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</si>
  <si>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</si>
  <si>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</si>
  <si>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</si>
  <si>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</si>
  <si>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</si>
  <si>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</si>
  <si>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</si>
  <si>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</si>
  <si>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</si>
  <si>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</si>
  <si>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</si>
  <si>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</si>
  <si>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</si>
  <si>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</si>
  <si>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</si>
  <si>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</si>
  <si>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</si>
  <si>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</si>
  <si>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</si>
  <si>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</si>
  <si>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</si>
  <si>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</si>
  <si>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</si>
  <si>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</si>
  <si>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</si>
  <si>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</si>
  <si>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</si>
  <si>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</si>
  <si>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</si>
  <si>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</si>
  <si>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</si>
  <si>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</si>
  <si>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</si>
  <si>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</si>
  <si>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</si>
  <si>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</si>
  <si>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</si>
  <si>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</si>
  <si>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</si>
  <si>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</si>
  <si>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</si>
  <si>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</si>
  <si>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</si>
  <si>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</si>
  <si>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</si>
  <si>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</si>
  <si>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</si>
  <si>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</si>
  <si>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</si>
  <si>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</si>
  <si>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</si>
  <si>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</si>
  <si>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</si>
  <si>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</si>
  <si>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</si>
  <si>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</si>
  <si>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</si>
  <si>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</si>
  <si>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</si>
  <si>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</si>
  <si>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</si>
  <si>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</si>
  <si>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</si>
  <si>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</si>
  <si>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</si>
  <si>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</si>
  <si>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</si>
  <si>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</si>
  <si>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</si>
  <si>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</si>
  <si>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</si>
  <si>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</si>
  <si>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</si>
  <si>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</si>
  <si>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</si>
  <si>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</si>
  <si>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</si>
  <si>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</si>
  <si>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</si>
  <si>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</si>
  <si>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</si>
  <si>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</si>
  <si>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</si>
  <si>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</si>
  <si>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</si>
  <si>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</si>
  <si>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</si>
  <si>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</si>
  <si>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</si>
  <si>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</si>
  <si>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</si>
  <si>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</si>
  <si>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</si>
  <si>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</si>
  <si>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</si>
  <si>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</si>
  <si>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</si>
  <si>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</si>
  <si>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</si>
  <si>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</si>
  <si>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</si>
  <si>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</si>
  <si>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</si>
  <si>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</si>
  <si>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</si>
  <si>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</si>
  <si>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</si>
  <si>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</si>
  <si>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</si>
  <si>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</si>
  <si>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</si>
  <si>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</si>
  <si>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</si>
  <si>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</si>
  <si>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</si>
  <si>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</si>
  <si>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</si>
  <si>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</si>
  <si>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</si>
  <si>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</si>
  <si>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</si>
  <si>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</si>
  <si>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</si>
  <si>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</si>
  <si>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</si>
  <si>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</si>
  <si>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</si>
  <si>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</si>
  <si>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</si>
  <si>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</si>
  <si>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</si>
  <si>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</si>
  <si>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</si>
  <si>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</si>
  <si>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</si>
  <si>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</si>
  <si>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</si>
  <si>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</si>
  <si>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</si>
  <si>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</si>
  <si>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</si>
  <si>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</si>
  <si>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</si>
  <si>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</si>
  <si>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</si>
  <si>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</si>
  <si>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</si>
  <si>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</si>
  <si>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</si>
  <si>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</si>
  <si>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</si>
  <si>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</si>
  <si>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</si>
  <si>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</si>
  <si>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</si>
  <si>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</si>
  <si>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</si>
  <si>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</si>
  <si>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</si>
  <si>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</si>
  <si>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</si>
  <si>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</si>
  <si>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</si>
  <si>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</si>
  <si>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</si>
  <si>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</si>
  <si>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</si>
  <si>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</si>
  <si>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</si>
  <si>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</si>
  <si>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</si>
  <si>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</si>
  <si>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</si>
  <si>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</si>
  <si>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</si>
  <si>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</si>
  <si>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</si>
  <si>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</si>
  <si>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</si>
  <si>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</si>
  <si>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</si>
  <si>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</si>
  <si>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</si>
  <si>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</si>
  <si>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</si>
  <si>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</si>
  <si>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</si>
  <si>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</si>
  <si>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</si>
  <si>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</si>
  <si>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</si>
  <si>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</si>
  <si>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</si>
  <si>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</si>
  <si>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</si>
  <si>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</si>
  <si>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</si>
  <si>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</si>
  <si>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</si>
  <si>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</si>
  <si>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</si>
  <si>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</si>
  <si>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</si>
  <si>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</si>
  <si>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</si>
  <si>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</si>
  <si>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</si>
  <si>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</si>
  <si>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</si>
  <si>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</si>
  <si>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</si>
  <si>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</si>
  <si>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</si>
  <si>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</si>
  <si>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</si>
  <si>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</si>
  <si>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</si>
  <si>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</si>
  <si>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</si>
  <si>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</si>
  <si>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</si>
  <si>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</si>
  <si>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</si>
  <si>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</si>
  <si>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</si>
  <si>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</si>
  <si>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</si>
  <si>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</si>
  <si>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</si>
  <si>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</si>
  <si>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</si>
  <si>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</si>
  <si>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</si>
  <si>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</si>
  <si>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</si>
  <si>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</si>
  <si>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</si>
  <si>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</si>
  <si>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</si>
  <si>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</si>
  <si>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</si>
  <si>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</si>
  <si>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</si>
  <si>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</si>
  <si>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</si>
  <si>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</si>
  <si>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</si>
  <si>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</si>
  <si>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</si>
  <si>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</si>
  <si>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</si>
  <si>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</si>
  <si>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</si>
  <si>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</si>
  <si>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</si>
  <si>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</si>
  <si>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</si>
  <si>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</si>
  <si>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</si>
  <si>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</si>
  <si>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</si>
  <si>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</si>
  <si>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</si>
  <si>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</si>
  <si>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</si>
  <si>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</si>
  <si>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</si>
  <si>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</si>
  <si>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</si>
  <si>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</si>
  <si>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</si>
  <si>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</si>
  <si>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</si>
  <si>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</si>
  <si>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</si>
  <si>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</si>
  <si>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Flytning af ledninger, Femern Banen</t>
  </si>
  <si>
    <t>Byggemodninger og kloakering i åbent land</t>
  </si>
  <si>
    <t>Oprensning af regnvandbassin</t>
  </si>
  <si>
    <t>Kontraventiler, regnvandsbassin, afskærende ledning og gasmotor</t>
  </si>
  <si>
    <t>Oprensning af regnvandsbassin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</si>
  <si>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</si>
  <si>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</si>
  <si>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</si>
  <si>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</si>
  <si>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Biogasafgift</t>
  </si>
  <si>
    <t>Til økonomiske rammer for 2022 og 2023</t>
  </si>
  <si>
    <t>Kontrol med overholdelse af den økonomiske ramme</t>
  </si>
  <si>
    <t>Force majeure -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</si>
</sst>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3" fontId="8" fillId="8" borderId="1" xfId="1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 xr:uid="{00000000-0005-0000-0000-000003000000}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6" t="s">
        <v>290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8" t="s">
        <v>245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17</v>
      </c>
      <c r="D14" s="78" t="s">
        <v>246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37</v>
      </c>
      <c r="D15" s="78" t="s">
        <v>160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38</v>
      </c>
      <c r="D16" s="78" t="s">
        <v>247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144</v>
      </c>
      <c r="D17" s="78" t="s">
        <v>248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124</v>
      </c>
      <c r="D18" s="75" t="s">
        <v>110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125</v>
      </c>
      <c r="D19" s="75" t="s">
        <v>111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7</v>
      </c>
      <c r="D20" s="75" t="s">
        <v>10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126</v>
      </c>
      <c r="D21" s="82" t="s">
        <v>13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91</v>
      </c>
      <c r="D22" s="69" t="s">
        <v>249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8</v>
      </c>
      <c r="D23" s="69" t="s">
        <v>195</v>
      </c>
      <c r="E23" s="70"/>
      <c r="F23" s="70"/>
      <c r="G23" s="71"/>
      <c r="H23" s="1"/>
      <c r="I23" s="1"/>
    </row>
    <row r="24" spans="1:9" x14ac:dyDescent="0.25">
      <c r="A24" s="1"/>
      <c r="B24" s="1"/>
      <c r="C24" s="6" t="s">
        <v>9</v>
      </c>
      <c r="D24" s="69" t="s">
        <v>39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127</v>
      </c>
      <c r="D25" s="69" t="s">
        <v>92</v>
      </c>
      <c r="E25" s="70"/>
      <c r="F25" s="70"/>
      <c r="G25" s="71"/>
      <c r="H25" s="1"/>
      <c r="I25" s="1"/>
    </row>
    <row r="26" spans="1:9" x14ac:dyDescent="0.25">
      <c r="A26" s="1"/>
      <c r="B26" s="1"/>
      <c r="C26" s="6" t="s">
        <v>128</v>
      </c>
      <c r="D26" s="69" t="s">
        <v>93</v>
      </c>
      <c r="E26" s="70"/>
      <c r="F26" s="70"/>
      <c r="G26" s="71"/>
      <c r="H26" s="1"/>
      <c r="I26" s="1"/>
    </row>
    <row r="27" spans="1:9" x14ac:dyDescent="0.25">
      <c r="A27" s="1"/>
      <c r="B27" s="1"/>
      <c r="C27" s="6" t="s">
        <v>129</v>
      </c>
      <c r="D27" s="69" t="s">
        <v>94</v>
      </c>
      <c r="E27" s="70"/>
      <c r="F27" s="70"/>
      <c r="G27" s="71"/>
      <c r="H27" s="1"/>
      <c r="I27" s="1"/>
    </row>
    <row r="28" spans="1:9" x14ac:dyDescent="0.25">
      <c r="A28" s="1"/>
      <c r="B28" s="1"/>
      <c r="C28" s="6" t="s">
        <v>16</v>
      </c>
      <c r="D28" s="69" t="s">
        <v>161</v>
      </c>
      <c r="E28" s="70"/>
      <c r="F28" s="70"/>
      <c r="G28" s="71"/>
      <c r="H28" s="1"/>
      <c r="I28" s="1"/>
    </row>
    <row r="29" spans="1:9" x14ac:dyDescent="0.25">
      <c r="A29" s="1"/>
      <c r="B29" s="1"/>
      <c r="C29" s="6" t="s">
        <v>41</v>
      </c>
      <c r="D29" s="69" t="s">
        <v>40</v>
      </c>
      <c r="E29" s="70"/>
      <c r="F29" s="70"/>
      <c r="G29" s="71"/>
      <c r="H29" s="1"/>
      <c r="I29" s="1"/>
    </row>
    <row r="30" spans="1:9" x14ac:dyDescent="0.25">
      <c r="A30" s="1"/>
      <c r="B30" s="1"/>
      <c r="C30" s="6" t="s">
        <v>42</v>
      </c>
      <c r="D30" s="72" t="s">
        <v>123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JzZ/sNdcQUuvmkeivu0edkAJhMi3od34ZJF9F/E4BHWzDvB/55LcD2KzqtYzuVv9tyoVfcbZ0+Jowb0cVtacw==" saltValue="PBbXjRsdOUgBTlO2MGjqSA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 xr:uid="{00000000-0004-0000-0000-000000000000}"/>
    <hyperlink ref="D25:G25" location="'Fane 10.1. Varige tillæg'!A1" display="Varige tillæg" xr:uid="{00000000-0004-0000-0000-000001000000}"/>
    <hyperlink ref="D28:G28" location="'Fane 12. Tilknyttet virksomhed'!A1" display="Tilknyttet virksomhed" xr:uid="{00000000-0004-0000-0000-000002000000}"/>
    <hyperlink ref="D29:G29" location="'Fane 13. Bortfald'!A1" display="Bortfald" xr:uid="{00000000-0004-0000-0000-000003000000}"/>
    <hyperlink ref="D13:G13" location="'Fane 2.1. Økonomisk ramme 2022'!A1" display="Samlet økonomisk ramme for 2021" xr:uid="{00000000-0004-0000-0000-000004000000}"/>
    <hyperlink ref="D16:G16" location="'Fane 2.4. Økonomisk ramme 2025'!A1" display="Vejledende økonomisk ramme for 2024" xr:uid="{00000000-0004-0000-0000-000005000000}"/>
    <hyperlink ref="D15:G15" location="'Fane 2.3. Økonomisk ramme 2024'!A1" display="Vejledende økonomisk ramme for 2023" xr:uid="{00000000-0004-0000-0000-000006000000}"/>
    <hyperlink ref="D22:G22" location="'Fane 7. Kontrol af ØR2020'!A1" display="Kontrol af den økonomiske ramme for 2019" xr:uid="{00000000-0004-0000-0000-000007000000}"/>
    <hyperlink ref="D24:G24" location="'Fane 9. Anlægsprojekter'!A1" display="Anlægsprojekter" xr:uid="{00000000-0004-0000-0000-000008000000}"/>
    <hyperlink ref="D30:G30" location="'Fane 14. Nøgletal'!A1" display="Nøgletal" xr:uid="{00000000-0004-0000-0000-000009000000}"/>
    <hyperlink ref="D17:G17" location="'Fane 3. Omkostninger i ØR2021'!A1" display="Omkostninger i ØR2020" xr:uid="{00000000-0004-0000-0000-00000A000000}"/>
    <hyperlink ref="D26:G26" location="'Fane 10.2. Engangstillæg'!A1" display="Engangstillæg" xr:uid="{00000000-0004-0000-0000-00000B000000}"/>
    <hyperlink ref="D27:G27" location="'Fane 11. Periodevise driftsomk.'!A1" display="Periodevise driftsomkostninger" xr:uid="{00000000-0004-0000-0000-00000C000000}"/>
    <hyperlink ref="D23:G23" location="'Fane 8. Korrektion af ØR2020'!A1" display="Korrektion af den økonomiske ramme for 2020" xr:uid="{00000000-0004-0000-0000-00000D000000}"/>
    <hyperlink ref="D21:G21" location="'Fane 6. Ikke-påvirkelige omk.'!A1" display="Ikke-påvirkelige omkostninger" xr:uid="{00000000-0004-0000-0000-00000E000000}"/>
    <hyperlink ref="D18:G18" location="'Fane 4.1. Gen. krav - drift'!A1" display="Generelt effektiviseringskrav på drift" xr:uid="{00000000-0004-0000-0000-00000F000000}"/>
    <hyperlink ref="D20:G20" location="'Fane 5. Individuelt eff. krav'!A1" display="Individuelt effektiviseringskrav" xr:uid="{00000000-0004-0000-0000-000010000000}"/>
    <hyperlink ref="D19:G19" location="'Fane 4.2. Gen. krav - anlæg'!A1" display="Generelt effektiviseringskrav på anlæg" xr:uid="{00000000-0004-0000-0000-000011000000}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208</v>
      </c>
      <c r="C8" s="100"/>
      <c r="D8" s="101"/>
      <c r="E8" s="1"/>
      <c r="F8" s="1"/>
    </row>
    <row r="9" spans="1:6" ht="15" customHeight="1" x14ac:dyDescent="0.25">
      <c r="A9" s="1"/>
      <c r="B9" s="30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5" t="s">
        <v>262</v>
      </c>
      <c r="C10" s="9">
        <v>1939567</v>
      </c>
      <c r="D10" s="14" t="s">
        <v>3</v>
      </c>
      <c r="E10" s="1"/>
      <c r="F10" s="1"/>
    </row>
    <row r="11" spans="1:6" ht="15" customHeight="1" x14ac:dyDescent="0.25">
      <c r="A11" s="1"/>
      <c r="B11" s="65" t="s">
        <v>263</v>
      </c>
      <c r="C11" s="9">
        <v>100312</v>
      </c>
      <c r="D11" s="14" t="s">
        <v>3</v>
      </c>
      <c r="E11" s="1"/>
      <c r="F11" s="1"/>
    </row>
    <row r="12" spans="1:6" ht="15" customHeight="1" x14ac:dyDescent="0.25">
      <c r="A12" s="1"/>
      <c r="B12" s="65" t="s">
        <v>264</v>
      </c>
      <c r="C12" s="9">
        <v>338767.24</v>
      </c>
      <c r="D12" s="14" t="s">
        <v>3</v>
      </c>
      <c r="E12" s="1"/>
      <c r="F12" s="1"/>
    </row>
    <row r="13" spans="1:6" x14ac:dyDescent="0.25">
      <c r="A13" s="1"/>
      <c r="B13" s="65" t="s">
        <v>265</v>
      </c>
      <c r="C13" s="9">
        <v>557442.78</v>
      </c>
      <c r="D13" s="14" t="s">
        <v>3</v>
      </c>
      <c r="E13" s="1"/>
      <c r="F13" s="1"/>
    </row>
    <row r="14" spans="1:6" x14ac:dyDescent="0.25">
      <c r="A14" s="1"/>
      <c r="B14" s="65" t="s">
        <v>266</v>
      </c>
      <c r="C14" s="9">
        <v>177479.12000000005</v>
      </c>
      <c r="D14" s="14" t="s">
        <v>3</v>
      </c>
      <c r="E14" s="1"/>
      <c r="F14" s="1"/>
    </row>
    <row r="15" spans="1:6" x14ac:dyDescent="0.25">
      <c r="A15" s="1"/>
      <c r="B15" s="65" t="s">
        <v>289</v>
      </c>
      <c r="C15" s="9">
        <v>9418</v>
      </c>
      <c r="D15" s="14" t="s">
        <v>3</v>
      </c>
      <c r="E15" s="1"/>
      <c r="F15" s="1"/>
    </row>
    <row r="16" spans="1:6" x14ac:dyDescent="0.25">
      <c r="A16" s="1"/>
      <c r="B16" s="65" t="s">
        <v>292</v>
      </c>
      <c r="C16" s="9">
        <f>13651+46466+292774+23089</f>
        <v>375980</v>
      </c>
      <c r="D16" s="14" t="s">
        <v>3</v>
      </c>
      <c r="E16" s="1"/>
      <c r="F16" s="1"/>
    </row>
    <row r="17" spans="1:6" x14ac:dyDescent="0.25">
      <c r="A17" s="1"/>
      <c r="B17" s="37" t="s">
        <v>209</v>
      </c>
      <c r="C17" s="12">
        <f>SUM(C10:C16)</f>
        <v>3498966.1400000006</v>
      </c>
      <c r="D17" s="13" t="s">
        <v>3</v>
      </c>
      <c r="E17" s="1"/>
      <c r="F17" s="1"/>
    </row>
    <row r="18" spans="1:6" x14ac:dyDescent="0.25">
      <c r="A18" s="1"/>
      <c r="B18" s="37" t="s">
        <v>210</v>
      </c>
      <c r="C18" s="12">
        <f>C17*(1+'Fane 14. Nøgletal'!C14)^2</f>
        <v>3522097.4202652657</v>
      </c>
      <c r="D18" s="13" t="s">
        <v>3</v>
      </c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6"/>
      <c r="C20" s="15"/>
      <c r="D20" s="15"/>
      <c r="E20" s="1"/>
      <c r="F20" s="1"/>
    </row>
    <row r="21" spans="1:6" x14ac:dyDescent="0.25">
      <c r="A21" s="1"/>
      <c r="B21" s="99" t="s">
        <v>142</v>
      </c>
      <c r="C21" s="100"/>
      <c r="D21" s="101"/>
      <c r="E21" s="1"/>
      <c r="F21" s="1"/>
    </row>
    <row r="22" spans="1:6" x14ac:dyDescent="0.25">
      <c r="A22" s="1"/>
      <c r="B22" s="65" t="s">
        <v>116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5" t="s">
        <v>117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65" t="s">
        <v>154</v>
      </c>
      <c r="C24" s="9">
        <v>0</v>
      </c>
      <c r="D24" s="14" t="s">
        <v>3</v>
      </c>
      <c r="E24" s="1"/>
      <c r="F24" s="1"/>
    </row>
    <row r="25" spans="1:6" x14ac:dyDescent="0.25">
      <c r="A25" s="1"/>
      <c r="B25" s="65" t="s">
        <v>211</v>
      </c>
      <c r="C25" s="9">
        <v>0</v>
      </c>
      <c r="D25" s="14" t="s">
        <v>3</v>
      </c>
      <c r="E25" s="1"/>
      <c r="F25" s="1"/>
    </row>
    <row r="26" spans="1:6" x14ac:dyDescent="0.25">
      <c r="A26" s="1"/>
      <c r="B26" s="99"/>
      <c r="C26" s="100"/>
      <c r="D26" s="10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99" t="s">
        <v>115</v>
      </c>
      <c r="C29" s="100"/>
      <c r="D29" s="101"/>
      <c r="E29" s="1"/>
      <c r="F29" s="1"/>
    </row>
    <row r="30" spans="1:6" x14ac:dyDescent="0.25">
      <c r="A30" s="1"/>
      <c r="B30" s="65" t="s">
        <v>116</v>
      </c>
      <c r="C30" s="9">
        <v>4189846</v>
      </c>
      <c r="D30" s="14" t="s">
        <v>3</v>
      </c>
      <c r="E30" s="1"/>
      <c r="F30" s="1"/>
    </row>
    <row r="31" spans="1:6" x14ac:dyDescent="0.25">
      <c r="A31" s="1"/>
      <c r="B31" s="65" t="s">
        <v>117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65" t="s">
        <v>154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65" t="s">
        <v>211</v>
      </c>
      <c r="C33" s="9">
        <v>0</v>
      </c>
      <c r="D33" s="14" t="s">
        <v>3</v>
      </c>
      <c r="E33" s="1"/>
      <c r="F33" s="1"/>
    </row>
    <row r="34" spans="1:6" x14ac:dyDescent="0.25">
      <c r="A34" s="1"/>
      <c r="B34" s="99"/>
      <c r="C34" s="100"/>
      <c r="D34" s="10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2muDxvRbaOKf48zwYlPkRVsHCTL/E2gyEZb53lDW8jiGdkFx6tkYLMOAo8vVWB66ZhMtW+IS27Qcg6yo/ux1pw==" saltValue="TPtCZzi4C3J17p0B/TcARw==" spinCount="100000" sheet="1" objects="1" scenarios="1"/>
  <mergeCells count="6">
    <mergeCell ref="B34:D34"/>
    <mergeCell ref="B3:D4"/>
    <mergeCell ref="B8:D8"/>
    <mergeCell ref="B21:D21"/>
    <mergeCell ref="B29:D29"/>
    <mergeCell ref="B26:D26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2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61"/>
      <c r="C5" s="61"/>
      <c r="D5" s="61"/>
      <c r="E5" s="61"/>
      <c r="F5" s="61"/>
      <c r="G5" s="1"/>
    </row>
    <row r="6" spans="1:7" ht="15" customHeight="1" x14ac:dyDescent="0.25">
      <c r="A6" s="1"/>
      <c r="B6" s="61"/>
      <c r="C6" s="61"/>
      <c r="D6" s="61"/>
      <c r="E6" s="61"/>
      <c r="F6" s="6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268</v>
      </c>
      <c r="C8" s="100"/>
      <c r="D8" s="100"/>
      <c r="E8" s="100"/>
      <c r="F8" s="101"/>
      <c r="G8" s="1"/>
    </row>
    <row r="9" spans="1:7" x14ac:dyDescent="0.25">
      <c r="A9" s="1"/>
      <c r="B9" s="104" t="s">
        <v>269</v>
      </c>
      <c r="C9" s="105"/>
      <c r="D9" s="106"/>
      <c r="E9" s="9">
        <v>25216165.708836555</v>
      </c>
      <c r="F9" s="14" t="s">
        <v>3</v>
      </c>
      <c r="G9" s="1"/>
    </row>
    <row r="10" spans="1:7" x14ac:dyDescent="0.25">
      <c r="A10" s="1"/>
      <c r="B10" s="104" t="s">
        <v>270</v>
      </c>
      <c r="C10" s="105"/>
      <c r="D10" s="106"/>
      <c r="E10" s="9">
        <v>13635861.714708537</v>
      </c>
      <c r="F10" s="14" t="s">
        <v>3</v>
      </c>
      <c r="G10" s="1"/>
    </row>
    <row r="11" spans="1:7" x14ac:dyDescent="0.25">
      <c r="A11" s="1"/>
      <c r="B11" s="104" t="s">
        <v>271</v>
      </c>
      <c r="C11" s="105"/>
      <c r="D11" s="106"/>
      <c r="E11" s="9">
        <v>13635861.714708537</v>
      </c>
      <c r="F11" s="14" t="s">
        <v>3</v>
      </c>
      <c r="G11" s="1"/>
    </row>
    <row r="12" spans="1:7" x14ac:dyDescent="0.25">
      <c r="A12" s="1"/>
      <c r="B12" s="104" t="s">
        <v>272</v>
      </c>
      <c r="C12" s="105"/>
      <c r="D12" s="106"/>
      <c r="E12" s="9">
        <v>2701238.9794132411</v>
      </c>
      <c r="F12" s="14" t="s">
        <v>3</v>
      </c>
      <c r="G12" s="1"/>
    </row>
    <row r="13" spans="1:7" x14ac:dyDescent="0.25">
      <c r="A13" s="1"/>
      <c r="B13" s="37"/>
      <c r="C13" s="31"/>
      <c r="D13" s="31"/>
      <c r="E13" s="31"/>
      <c r="F13" s="20"/>
      <c r="G13" s="1"/>
    </row>
    <row r="14" spans="1:7" ht="51.75" customHeight="1" x14ac:dyDescent="0.25">
      <c r="A14" s="1"/>
      <c r="B14" s="89" t="s">
        <v>273</v>
      </c>
      <c r="C14" s="90"/>
      <c r="D14" s="90"/>
      <c r="E14" s="90"/>
      <c r="F14" s="91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274</v>
      </c>
      <c r="C16" s="100"/>
      <c r="D16" s="100"/>
      <c r="E16" s="100"/>
      <c r="F16" s="101"/>
      <c r="G16" s="1"/>
    </row>
    <row r="17" spans="1:7" x14ac:dyDescent="0.25">
      <c r="A17" s="1"/>
      <c r="B17" s="104" t="s">
        <v>275</v>
      </c>
      <c r="C17" s="105"/>
      <c r="D17" s="106"/>
      <c r="E17" s="9">
        <v>0</v>
      </c>
      <c r="F17" s="14" t="s">
        <v>3</v>
      </c>
      <c r="G17" s="1"/>
    </row>
    <row r="18" spans="1:7" x14ac:dyDescent="0.25">
      <c r="A18" s="1"/>
      <c r="B18" s="104" t="s">
        <v>276</v>
      </c>
      <c r="C18" s="105"/>
      <c r="D18" s="106"/>
      <c r="E18" s="9">
        <v>0</v>
      </c>
      <c r="F18" s="14" t="s">
        <v>3</v>
      </c>
      <c r="G18" s="1"/>
    </row>
    <row r="19" spans="1:7" x14ac:dyDescent="0.25">
      <c r="A19" s="1"/>
      <c r="B19" s="37"/>
      <c r="C19" s="31"/>
      <c r="D19" s="31"/>
      <c r="E19" s="31"/>
      <c r="F19" s="20"/>
      <c r="G19" s="1"/>
    </row>
    <row r="20" spans="1:7" ht="29.25" customHeight="1" x14ac:dyDescent="0.25">
      <c r="A20" s="1"/>
      <c r="B20" s="89" t="s">
        <v>277</v>
      </c>
      <c r="C20" s="90"/>
      <c r="D20" s="90"/>
      <c r="E20" s="90"/>
      <c r="F20" s="9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213</v>
      </c>
      <c r="C22" s="57"/>
      <c r="D22" s="57"/>
      <c r="E22" s="57"/>
      <c r="F22" s="58"/>
      <c r="G22" s="1"/>
    </row>
    <row r="23" spans="1:7" x14ac:dyDescent="0.25">
      <c r="A23" s="1"/>
      <c r="B23" s="62" t="s">
        <v>214</v>
      </c>
      <c r="C23" s="63"/>
      <c r="D23" s="64"/>
      <c r="E23" s="9">
        <v>153485917.75362512</v>
      </c>
      <c r="F23" s="14" t="s">
        <v>3</v>
      </c>
      <c r="G23" s="1"/>
    </row>
    <row r="24" spans="1:7" x14ac:dyDescent="0.25">
      <c r="A24" s="1"/>
      <c r="B24" s="62" t="s">
        <v>215</v>
      </c>
      <c r="C24" s="63"/>
      <c r="D24" s="64"/>
      <c r="E24" s="9">
        <v>160266933.56999999</v>
      </c>
      <c r="F24" s="14" t="s">
        <v>3</v>
      </c>
      <c r="G24" s="1"/>
    </row>
    <row r="25" spans="1:7" x14ac:dyDescent="0.25">
      <c r="A25" s="1"/>
      <c r="B25" s="62" t="s">
        <v>36</v>
      </c>
      <c r="C25" s="63"/>
      <c r="D25" s="64"/>
      <c r="E25" s="9">
        <v>0</v>
      </c>
      <c r="F25" s="14" t="s">
        <v>3</v>
      </c>
      <c r="G25" s="1"/>
    </row>
    <row r="26" spans="1:7" x14ac:dyDescent="0.25">
      <c r="A26" s="1"/>
      <c r="B26" s="59" t="s">
        <v>278</v>
      </c>
      <c r="C26" s="60"/>
      <c r="D26" s="67"/>
      <c r="E26" s="47">
        <f>E23-(E24-E25)</f>
        <v>-6781015.8163748682</v>
      </c>
      <c r="F26" s="17" t="s">
        <v>3</v>
      </c>
      <c r="G26" s="1"/>
    </row>
    <row r="27" spans="1:7" x14ac:dyDescent="0.25">
      <c r="A27" s="1"/>
      <c r="B27" s="37"/>
      <c r="C27" s="31"/>
      <c r="D27" s="31"/>
      <c r="E27" s="31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9" t="s">
        <v>186</v>
      </c>
      <c r="C30" s="100"/>
      <c r="D30" s="100"/>
      <c r="E30" s="100"/>
      <c r="F30" s="101"/>
      <c r="G30" s="1"/>
    </row>
    <row r="31" spans="1:7" x14ac:dyDescent="0.25">
      <c r="A31" s="1"/>
      <c r="B31" s="116" t="s">
        <v>287</v>
      </c>
      <c r="C31" s="117"/>
      <c r="D31" s="118"/>
      <c r="E31" s="9">
        <v>3</v>
      </c>
      <c r="F31" s="14"/>
      <c r="G31" s="1"/>
    </row>
    <row r="32" spans="1:7" x14ac:dyDescent="0.2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25">
      <c r="A34" s="1"/>
      <c r="B34" s="119" t="s">
        <v>188</v>
      </c>
      <c r="C34" s="119"/>
      <c r="D34" s="119"/>
      <c r="E34" s="10">
        <f>E32/E33</f>
        <v>0</v>
      </c>
      <c r="F34" s="17" t="s">
        <v>3</v>
      </c>
      <c r="G34" s="1"/>
    </row>
    <row r="35" spans="1:7" x14ac:dyDescent="0.25">
      <c r="A35" s="1"/>
      <c r="B35" s="120"/>
      <c r="C35" s="121"/>
      <c r="D35" s="121"/>
      <c r="E35" s="121"/>
      <c r="F35" s="122"/>
      <c r="G35" s="1"/>
    </row>
    <row r="36" spans="1:7" ht="75" customHeight="1" x14ac:dyDescent="0.25">
      <c r="A36" s="1"/>
      <c r="B36" s="89" t="s">
        <v>286</v>
      </c>
      <c r="C36" s="90"/>
      <c r="D36" s="90"/>
      <c r="E36" s="90"/>
      <c r="F36" s="9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pQ8hCMqPxaZFjyJjDTXW2oiA8GaD34VmjaBovHzSVVVJ1mOPHhShWc7NLfOZHF3jO6iJgA8A1ooq2Gk/078JKQ==" saltValue="RZieBbq5uKH1dZzBqtqlVQ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9" t="s">
        <v>217</v>
      </c>
      <c r="C9" s="100"/>
      <c r="D9" s="100"/>
      <c r="E9" s="100"/>
      <c r="F9" s="101"/>
      <c r="G9" s="1"/>
    </row>
    <row r="10" spans="1:7" x14ac:dyDescent="0.25">
      <c r="A10" s="1"/>
      <c r="B10" s="89" t="s">
        <v>118</v>
      </c>
      <c r="C10" s="90"/>
      <c r="D10" s="91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102" t="s">
        <v>119</v>
      </c>
      <c r="C12" s="103"/>
      <c r="D12" s="123"/>
      <c r="E12" s="10">
        <f>E11-E10</f>
        <v>0</v>
      </c>
      <c r="F12" s="11" t="s">
        <v>3</v>
      </c>
      <c r="G12" s="1"/>
    </row>
    <row r="13" spans="1:7" x14ac:dyDescent="0.25">
      <c r="A13" s="1"/>
      <c r="B13" s="99" t="s">
        <v>109</v>
      </c>
      <c r="C13" s="100"/>
      <c r="D13" s="100"/>
      <c r="E13" s="100"/>
      <c r="F13" s="101"/>
      <c r="G13" s="1"/>
    </row>
    <row r="14" spans="1:7" x14ac:dyDescent="0.2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25">
      <c r="A15" s="1"/>
      <c r="B15" s="89" t="s">
        <v>220</v>
      </c>
      <c r="C15" s="90"/>
      <c r="D15" s="91"/>
      <c r="E15" s="9">
        <v>0</v>
      </c>
      <c r="F15" s="8" t="s">
        <v>3</v>
      </c>
      <c r="G15" s="1"/>
    </row>
    <row r="16" spans="1:7" x14ac:dyDescent="0.25">
      <c r="A16" s="1"/>
      <c r="B16" s="102" t="s">
        <v>119</v>
      </c>
      <c r="C16" s="103"/>
      <c r="D16" s="123"/>
      <c r="E16" s="10">
        <f>E15-E14</f>
        <v>0</v>
      </c>
      <c r="F16" s="11" t="s">
        <v>3</v>
      </c>
      <c r="G16" s="1"/>
    </row>
    <row r="17" spans="1:7" x14ac:dyDescent="0.25">
      <c r="A17" s="1"/>
      <c r="B17" s="37" t="s">
        <v>221</v>
      </c>
      <c r="C17" s="31"/>
      <c r="D17" s="31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o8IK4I2FTfI+eBrby0XQPAdZWj0imagaX8kTY5P2tnTjDLCeJLuzs9rekF2PpLkCX11KdyLSsOSEGYLG3j8Wg==" saltValue="E9k2pDCdSTtXrkrTd2ABp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178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6"/>
      <c r="I9" s="1"/>
    </row>
    <row r="10" spans="1:9" x14ac:dyDescent="0.25">
      <c r="A10" s="1"/>
      <c r="B10" s="68" t="s">
        <v>288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9" t="s">
        <v>179</v>
      </c>
      <c r="C11" s="100"/>
      <c r="D11" s="10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J5kTbBrgerXDFv33msGO8tuFRkpzmXqNM6D60ToBi3yx0POu2WAVXmSuMb3B9YhMQ4EQvu6Wven5HWG4ZN7A4A==" saltValue="eWInhYXjOb4NGSIOqyjqX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88</v>
      </c>
      <c r="C8" s="31"/>
      <c r="D8" s="31"/>
      <c r="E8" s="31"/>
      <c r="F8" s="20"/>
      <c r="G8" s="1"/>
    </row>
    <row r="9" spans="1:7" ht="17.25" customHeight="1" x14ac:dyDescent="0.25">
      <c r="A9" s="1"/>
      <c r="B9" s="54" t="s">
        <v>18</v>
      </c>
      <c r="C9" s="54" t="s">
        <v>12</v>
      </c>
      <c r="D9" s="55"/>
      <c r="E9" s="54" t="s">
        <v>34</v>
      </c>
      <c r="F9" s="36"/>
      <c r="G9" s="1"/>
    </row>
    <row r="10" spans="1:7" x14ac:dyDescent="0.25">
      <c r="A10" s="1"/>
      <c r="B10" s="24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ht="26.25" x14ac:dyDescent="0.25">
      <c r="A11" s="1"/>
      <c r="B11" s="48" t="s">
        <v>283</v>
      </c>
      <c r="C11" s="22">
        <v>626513</v>
      </c>
      <c r="D11" s="14" t="s">
        <v>3</v>
      </c>
      <c r="E11" s="9">
        <v>3921888</v>
      </c>
      <c r="F11" s="14" t="s">
        <v>3</v>
      </c>
      <c r="G11" s="1"/>
    </row>
    <row r="12" spans="1:7" x14ac:dyDescent="0.25">
      <c r="A12" s="1"/>
      <c r="B12" s="46" t="s">
        <v>280</v>
      </c>
      <c r="C12" s="22">
        <v>0</v>
      </c>
      <c r="D12" s="14" t="s">
        <v>3</v>
      </c>
      <c r="E12" s="9">
        <v>4668</v>
      </c>
      <c r="F12" s="14" t="s">
        <v>3</v>
      </c>
      <c r="G12" s="1"/>
    </row>
    <row r="13" spans="1:7" x14ac:dyDescent="0.25">
      <c r="A13" s="1"/>
      <c r="B13" s="46" t="s">
        <v>281</v>
      </c>
      <c r="C13" s="22">
        <v>734235</v>
      </c>
      <c r="D13" s="14" t="s">
        <v>3</v>
      </c>
      <c r="E13" s="9">
        <v>1319937</v>
      </c>
      <c r="F13" s="14" t="s">
        <v>3</v>
      </c>
      <c r="G13" s="1"/>
    </row>
    <row r="14" spans="1:7" x14ac:dyDescent="0.25">
      <c r="A14" s="1"/>
      <c r="B14" s="24" t="s">
        <v>282</v>
      </c>
      <c r="C14" s="22">
        <v>125145</v>
      </c>
      <c r="D14" s="14" t="s">
        <v>3</v>
      </c>
      <c r="E14" s="9">
        <v>0</v>
      </c>
      <c r="F14" s="14" t="s">
        <v>3</v>
      </c>
      <c r="G14" s="1"/>
    </row>
    <row r="15" spans="1:7" x14ac:dyDescent="0.25">
      <c r="A15" s="1"/>
      <c r="B15" s="37" t="s">
        <v>163</v>
      </c>
      <c r="C15" s="12">
        <f>SUM(C10:C14)</f>
        <v>1485893</v>
      </c>
      <c r="D15" s="13" t="s">
        <v>3</v>
      </c>
      <c r="E15" s="12">
        <f>SUM(E10:E14)</f>
        <v>5246493</v>
      </c>
      <c r="F15" s="13" t="s">
        <v>3</v>
      </c>
      <c r="G15" s="1"/>
    </row>
    <row r="16" spans="1:7" x14ac:dyDescent="0.25">
      <c r="A16" s="1"/>
      <c r="B16" s="37" t="s">
        <v>222</v>
      </c>
      <c r="C16" s="12">
        <f>C15*(1+'Fane 14. Nøgletal'!C14)</f>
        <v>1490796.4469000001</v>
      </c>
      <c r="D16" s="13" t="s">
        <v>3</v>
      </c>
      <c r="E16" s="12">
        <f>E15*(1+'Fane 14. Nøgletal'!C14)</f>
        <v>5263806.4269000003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rgpH2YoOZdlJ1qfBtHv9XIAlmVdf9NKHPcegIazT8zl2i5TgAGqLzcdBx6enC8zykDZwDOIP041T41z6rCUJOw==" saltValue="Bl0m8TaoUKFhLC1WYv/ik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112</v>
      </c>
      <c r="C8" s="100"/>
      <c r="D8" s="100"/>
      <c r="E8" s="100"/>
      <c r="F8" s="101"/>
      <c r="G8" s="1"/>
    </row>
    <row r="9" spans="1:7" x14ac:dyDescent="0.25">
      <c r="A9" s="1"/>
      <c r="B9" s="54" t="s">
        <v>18</v>
      </c>
      <c r="C9" s="54" t="s">
        <v>12</v>
      </c>
      <c r="D9" s="55"/>
      <c r="E9" s="54" t="s">
        <v>34</v>
      </c>
      <c r="F9" s="36"/>
      <c r="G9" s="1"/>
    </row>
    <row r="10" spans="1:7" x14ac:dyDescent="0.25">
      <c r="A10" s="1"/>
      <c r="B10" s="24" t="s">
        <v>284</v>
      </c>
      <c r="C10" s="22">
        <v>1001158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223</v>
      </c>
      <c r="C11" s="12">
        <f>SUM(C10:C10)</f>
        <v>1001158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6" t="s">
        <v>10</v>
      </c>
      <c r="C12" s="27">
        <f>-C11*'Fane 5. Individuelt eff. krav'!G12</f>
        <v>-2737.9632926350901</v>
      </c>
      <c r="D12" s="28" t="s">
        <v>3</v>
      </c>
      <c r="E12" s="27">
        <f>-E11*'Fane 5. Individuelt eff. krav'!G12</f>
        <v>0</v>
      </c>
      <c r="F12" s="28" t="s">
        <v>3</v>
      </c>
      <c r="G12" s="1"/>
    </row>
    <row r="13" spans="1:7" x14ac:dyDescent="0.25">
      <c r="A13" s="1"/>
      <c r="B13" s="26" t="s">
        <v>114</v>
      </c>
      <c r="C13" s="27">
        <f>-C11*'Fane 14. Nøgletal'!C29</f>
        <v>-20023.16</v>
      </c>
      <c r="D13" s="28" t="s">
        <v>3</v>
      </c>
      <c r="E13" s="27">
        <f>-E11*'Fane 14. Nøgletal'!C24</f>
        <v>0</v>
      </c>
      <c r="F13" s="28" t="s">
        <v>3</v>
      </c>
      <c r="G13" s="1"/>
    </row>
    <row r="14" spans="1:7" x14ac:dyDescent="0.25">
      <c r="A14" s="1"/>
      <c r="B14" s="37" t="s">
        <v>164</v>
      </c>
      <c r="C14" s="12">
        <f>SUM(C11:C13)*(1+'Fane 14. Nøgletal'!C14)^2</f>
        <v>984864.95083562098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113</v>
      </c>
      <c r="C16" s="100"/>
      <c r="D16" s="100"/>
      <c r="E16" s="100"/>
      <c r="F16" s="101"/>
      <c r="G16" s="1"/>
    </row>
    <row r="17" spans="1:7" x14ac:dyDescent="0.25">
      <c r="A17" s="1"/>
      <c r="B17" s="54" t="s">
        <v>18</v>
      </c>
      <c r="C17" s="54" t="s">
        <v>12</v>
      </c>
      <c r="D17" s="55"/>
      <c r="E17" s="54" t="s">
        <v>34</v>
      </c>
      <c r="F17" s="36"/>
      <c r="G17" s="1"/>
    </row>
    <row r="18" spans="1:7" x14ac:dyDescent="0.25">
      <c r="A18" s="1"/>
      <c r="B18" s="24" t="s">
        <v>285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7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6" t="s">
        <v>10</v>
      </c>
      <c r="C20" s="27">
        <f>-C19*'Fane 5. Individuelt eff. krav'!G12</f>
        <v>0</v>
      </c>
      <c r="D20" s="28" t="s">
        <v>3</v>
      </c>
      <c r="E20" s="27">
        <f>-E19*'Fane 5. Individuelt eff. krav'!G12</f>
        <v>0</v>
      </c>
      <c r="F20" s="28" t="s">
        <v>3</v>
      </c>
      <c r="G20" s="1"/>
    </row>
    <row r="21" spans="1:7" x14ac:dyDescent="0.25">
      <c r="A21" s="1"/>
      <c r="B21" s="26" t="s">
        <v>114</v>
      </c>
      <c r="C21" s="27">
        <f>-C19*'Fane 14. Nøgletal'!C29</f>
        <v>0</v>
      </c>
      <c r="D21" s="28" t="s">
        <v>3</v>
      </c>
      <c r="E21" s="27">
        <f>-E19*'Fane 14. Nøgletal'!C24</f>
        <v>0</v>
      </c>
      <c r="F21" s="28" t="s">
        <v>3</v>
      </c>
      <c r="G21" s="1"/>
    </row>
    <row r="22" spans="1:7" x14ac:dyDescent="0.25">
      <c r="A22" s="1"/>
      <c r="B22" s="37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166</v>
      </c>
      <c r="C24" s="100"/>
      <c r="D24" s="100"/>
      <c r="E24" s="100"/>
      <c r="F24" s="101"/>
      <c r="G24" s="1"/>
    </row>
    <row r="25" spans="1:7" x14ac:dyDescent="0.25">
      <c r="A25" s="1"/>
      <c r="B25" s="54" t="s">
        <v>18</v>
      </c>
      <c r="C25" s="54" t="s">
        <v>12</v>
      </c>
      <c r="D25" s="55"/>
      <c r="E25" s="54" t="s">
        <v>34</v>
      </c>
      <c r="F25" s="36"/>
      <c r="G25" s="1"/>
    </row>
    <row r="26" spans="1:7" x14ac:dyDescent="0.25">
      <c r="A26" s="1"/>
      <c r="B26" s="24" t="s">
        <v>285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7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6" t="s">
        <v>10</v>
      </c>
      <c r="C28" s="27">
        <f>-C27*'Fane 5. Individuelt eff. krav'!G12</f>
        <v>0</v>
      </c>
      <c r="D28" s="28" t="s">
        <v>3</v>
      </c>
      <c r="E28" s="27">
        <f>-E27*'Fane 5. Individuelt eff. krav'!G12</f>
        <v>0</v>
      </c>
      <c r="F28" s="28" t="s">
        <v>3</v>
      </c>
      <c r="G28" s="1"/>
    </row>
    <row r="29" spans="1:7" x14ac:dyDescent="0.25">
      <c r="A29" s="1"/>
      <c r="B29" s="26" t="s">
        <v>114</v>
      </c>
      <c r="C29" s="27">
        <f>-C27*'Fane 14. Nøgletal'!C29</f>
        <v>0</v>
      </c>
      <c r="D29" s="28" t="s">
        <v>3</v>
      </c>
      <c r="E29" s="27">
        <f>-E27*'Fane 14. Nøgletal'!C24</f>
        <v>0</v>
      </c>
      <c r="F29" s="28" t="s">
        <v>3</v>
      </c>
      <c r="G29" s="1"/>
    </row>
    <row r="30" spans="1:7" x14ac:dyDescent="0.25">
      <c r="A30" s="1"/>
      <c r="B30" s="37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224</v>
      </c>
      <c r="C32" s="100"/>
      <c r="D32" s="100"/>
      <c r="E32" s="100"/>
      <c r="F32" s="101"/>
      <c r="G32" s="1"/>
    </row>
    <row r="33" spans="1:7" x14ac:dyDescent="0.25">
      <c r="A33" s="1"/>
      <c r="B33" s="54" t="s">
        <v>18</v>
      </c>
      <c r="C33" s="54" t="s">
        <v>12</v>
      </c>
      <c r="D33" s="55"/>
      <c r="E33" s="54" t="s">
        <v>34</v>
      </c>
      <c r="F33" s="36"/>
      <c r="G33" s="1"/>
    </row>
    <row r="34" spans="1:7" x14ac:dyDescent="0.25">
      <c r="A34" s="1"/>
      <c r="B34" s="24" t="s">
        <v>285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7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6" t="s">
        <v>10</v>
      </c>
      <c r="C36" s="27">
        <f>-C35*'Fane 5. Individuelt eff. krav'!G12</f>
        <v>0</v>
      </c>
      <c r="D36" s="28" t="s">
        <v>3</v>
      </c>
      <c r="E36" s="27">
        <f>-E35*'Fane 5. Individuelt eff. krav'!G12</f>
        <v>0</v>
      </c>
      <c r="F36" s="28" t="s">
        <v>3</v>
      </c>
      <c r="G36" s="1"/>
    </row>
    <row r="37" spans="1:7" x14ac:dyDescent="0.25">
      <c r="A37" s="1"/>
      <c r="B37" s="26" t="s">
        <v>114</v>
      </c>
      <c r="C37" s="27">
        <f>-C35*'Fane 14. Nøgletal'!C29</f>
        <v>0</v>
      </c>
      <c r="D37" s="28" t="s">
        <v>3</v>
      </c>
      <c r="E37" s="27">
        <f>-E35*'Fane 14. Nøgletal'!C24</f>
        <v>0</v>
      </c>
      <c r="F37" s="28" t="s">
        <v>3</v>
      </c>
      <c r="G37" s="1"/>
    </row>
    <row r="38" spans="1:7" x14ac:dyDescent="0.25">
      <c r="A38" s="1"/>
      <c r="B38" s="37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/aD0NnIBvGpp1eiFGzdMiu9cXDzrGKMn1u2bO5+HHuF4Zclhi5/Nc2UdEVgoeQLaKj94LX6+Rdnp9h30/wLfmg==" saltValue="tgd+SeB7Sw59a8pmfyzfx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103</v>
      </c>
      <c r="C8" s="100"/>
      <c r="D8" s="100"/>
      <c r="E8" s="100"/>
      <c r="F8" s="101"/>
      <c r="G8" s="1"/>
    </row>
    <row r="9" spans="1:7" x14ac:dyDescent="0.2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3" t="s">
        <v>26</v>
      </c>
      <c r="C11" s="94"/>
      <c r="D11" s="95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9" t="s">
        <v>105</v>
      </c>
      <c r="C12" s="100"/>
      <c r="D12" s="101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104</v>
      </c>
      <c r="C14" s="100"/>
      <c r="D14" s="100"/>
      <c r="E14" s="100"/>
      <c r="F14" s="101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3" t="s">
        <v>26</v>
      </c>
      <c r="C17" s="94"/>
      <c r="D17" s="95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9" t="s">
        <v>106</v>
      </c>
      <c r="C18" s="100"/>
      <c r="D18" s="101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155</v>
      </c>
      <c r="C20" s="100"/>
      <c r="D20" s="100"/>
      <c r="E20" s="100"/>
      <c r="F20" s="101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3" t="s">
        <v>26</v>
      </c>
      <c r="C23" s="94"/>
      <c r="D23" s="95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9" t="s">
        <v>156</v>
      </c>
      <c r="C24" s="100"/>
      <c r="D24" s="101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227</v>
      </c>
      <c r="C26" s="100"/>
      <c r="D26" s="100"/>
      <c r="E26" s="100"/>
      <c r="F26" s="101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3" t="s">
        <v>26</v>
      </c>
      <c r="C29" s="94"/>
      <c r="D29" s="95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9" t="s">
        <v>228</v>
      </c>
      <c r="C30" s="100"/>
      <c r="D30" s="101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oPAbzJReBbGlrHO9to/2Zp/7xQ5XE/SCa7AC69l46XHMne2jAB0kOV3e2ta9sSoEnXKXJYwzhRf2beGfbdVHQ==" saltValue="Wf5rXJKM7Tzi2D4fNPCPT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157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158</v>
      </c>
      <c r="C8" s="100"/>
      <c r="D8" s="100"/>
      <c r="E8" s="100"/>
      <c r="F8" s="101"/>
      <c r="G8" s="1"/>
    </row>
    <row r="9" spans="1:7" ht="15" customHeight="1" x14ac:dyDescent="0.25">
      <c r="A9" s="1"/>
      <c r="B9" s="35" t="s">
        <v>159</v>
      </c>
      <c r="C9" s="35" t="s">
        <v>12</v>
      </c>
      <c r="D9" s="36"/>
      <c r="E9" s="35" t="s">
        <v>34</v>
      </c>
      <c r="F9" s="36"/>
      <c r="G9" s="1"/>
    </row>
    <row r="10" spans="1:7" x14ac:dyDescent="0.25">
      <c r="A10" s="1"/>
      <c r="B10" s="24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7B515llre+a3U6tkdUxjwyI4nQMTi2LfH77tssl3qBu8Sl0sqbHpJtcFlnBrD10Bw/JnWC7AtR2rlmtzCGJfIQ==" saltValue="/r+9KExe65/kTl5dSoJh9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107</v>
      </c>
      <c r="C8" s="100"/>
      <c r="D8" s="100"/>
      <c r="E8" s="100"/>
      <c r="F8" s="101"/>
      <c r="G8" s="1"/>
    </row>
    <row r="9" spans="1:7" ht="15" customHeight="1" x14ac:dyDescent="0.25">
      <c r="A9" s="1"/>
      <c r="B9" s="35" t="s">
        <v>19</v>
      </c>
      <c r="C9" s="35" t="s">
        <v>12</v>
      </c>
      <c r="D9" s="36"/>
      <c r="E9" s="35" t="s">
        <v>34</v>
      </c>
      <c r="F9" s="36"/>
      <c r="G9" s="1"/>
    </row>
    <row r="10" spans="1:7" x14ac:dyDescent="0.25">
      <c r="A10" s="1"/>
      <c r="B10" s="24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108</v>
      </c>
      <c r="C14" s="100"/>
      <c r="D14" s="100"/>
      <c r="E14" s="100"/>
      <c r="F14" s="101"/>
      <c r="G14" s="1"/>
    </row>
    <row r="15" spans="1:7" ht="26.25" x14ac:dyDescent="0.25">
      <c r="A15" s="1"/>
      <c r="B15" s="35" t="s">
        <v>19</v>
      </c>
      <c r="C15" s="35" t="s">
        <v>12</v>
      </c>
      <c r="D15" s="36"/>
      <c r="E15" s="35" t="s">
        <v>34</v>
      </c>
      <c r="F15" s="36"/>
      <c r="G15" s="1"/>
    </row>
    <row r="16" spans="1:7" x14ac:dyDescent="0.25">
      <c r="A16" s="1"/>
      <c r="B16" s="24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169</v>
      </c>
      <c r="C20" s="100"/>
      <c r="D20" s="100"/>
      <c r="E20" s="100"/>
      <c r="F20" s="101"/>
      <c r="G20" s="1"/>
    </row>
    <row r="21" spans="1:7" ht="26.25" x14ac:dyDescent="0.25">
      <c r="A21" s="1"/>
      <c r="B21" s="35" t="s">
        <v>19</v>
      </c>
      <c r="C21" s="35" t="s">
        <v>12</v>
      </c>
      <c r="D21" s="36"/>
      <c r="E21" s="35" t="s">
        <v>34</v>
      </c>
      <c r="F21" s="36"/>
      <c r="G21" s="1"/>
    </row>
    <row r="22" spans="1:7" x14ac:dyDescent="0.25">
      <c r="A22" s="1"/>
      <c r="B22" s="24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231</v>
      </c>
      <c r="C26" s="100"/>
      <c r="D26" s="100"/>
      <c r="E26" s="100"/>
      <c r="F26" s="101"/>
      <c r="G26" s="1"/>
    </row>
    <row r="27" spans="1:7" ht="26.25" x14ac:dyDescent="0.25">
      <c r="A27" s="1"/>
      <c r="B27" s="35" t="s">
        <v>19</v>
      </c>
      <c r="C27" s="35" t="s">
        <v>12</v>
      </c>
      <c r="D27" s="36"/>
      <c r="E27" s="35" t="s">
        <v>34</v>
      </c>
      <c r="F27" s="36"/>
      <c r="G27" s="1"/>
    </row>
    <row r="28" spans="1:7" x14ac:dyDescent="0.25">
      <c r="A28" s="1"/>
      <c r="B28" s="24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5Y9Bi83dWJEet9U0gtB9c9X1voaXn906aJKY4J3KZgAB4c7fzura/bF0MKIY1D6kDRw+mF5v7153y6YW2/9vjQ==" saltValue="SC62RCy7AFNAVV0rXfD14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189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15</v>
      </c>
      <c r="C8" s="20"/>
      <c r="D8" s="1"/>
    </row>
    <row r="9" spans="1:4" x14ac:dyDescent="0.25">
      <c r="A9" s="1"/>
      <c r="B9" s="65" t="s">
        <v>137</v>
      </c>
      <c r="C9" s="25">
        <v>1.2699999999999999E-2</v>
      </c>
      <c r="D9" s="1"/>
    </row>
    <row r="10" spans="1:4" x14ac:dyDescent="0.25">
      <c r="A10" s="1"/>
      <c r="B10" s="65" t="s">
        <v>138</v>
      </c>
      <c r="C10" s="25">
        <v>1.7500000000000002E-2</v>
      </c>
      <c r="D10" s="1"/>
    </row>
    <row r="11" spans="1:4" x14ac:dyDescent="0.25">
      <c r="A11" s="1"/>
      <c r="B11" s="65" t="s">
        <v>24</v>
      </c>
      <c r="C11" s="25">
        <v>1.6899999999999998E-2</v>
      </c>
      <c r="D11" s="1"/>
    </row>
    <row r="12" spans="1:4" x14ac:dyDescent="0.25">
      <c r="A12" s="1"/>
      <c r="B12" s="38" t="s">
        <v>254</v>
      </c>
      <c r="C12" s="39">
        <v>1.9699999999999999E-2</v>
      </c>
      <c r="D12" s="1"/>
    </row>
    <row r="13" spans="1:4" x14ac:dyDescent="0.25">
      <c r="A13" s="1"/>
      <c r="B13" s="38" t="s">
        <v>162</v>
      </c>
      <c r="C13" s="39">
        <v>1.2200000000000001E-2</v>
      </c>
      <c r="D13" s="1"/>
    </row>
    <row r="14" spans="1:4" x14ac:dyDescent="0.25">
      <c r="A14" s="1"/>
      <c r="B14" s="65" t="s">
        <v>253</v>
      </c>
      <c r="C14" s="50">
        <v>3.3E-3</v>
      </c>
      <c r="D14" s="1"/>
    </row>
    <row r="15" spans="1:4" x14ac:dyDescent="0.25">
      <c r="A15" s="1"/>
      <c r="B15" s="37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7" t="s">
        <v>121</v>
      </c>
      <c r="C18" s="20"/>
      <c r="D18" s="1"/>
    </row>
    <row r="19" spans="1:4" x14ac:dyDescent="0.25">
      <c r="A19" s="1"/>
      <c r="B19" s="65" t="s">
        <v>139</v>
      </c>
      <c r="C19" s="23">
        <v>9.1000000000000004E-3</v>
      </c>
      <c r="D19" s="1"/>
    </row>
    <row r="20" spans="1:4" x14ac:dyDescent="0.25">
      <c r="A20" s="1"/>
      <c r="B20" s="65" t="s">
        <v>190</v>
      </c>
      <c r="C20" s="23">
        <v>1.77E-2</v>
      </c>
      <c r="D20" s="1"/>
    </row>
    <row r="21" spans="1:4" x14ac:dyDescent="0.25">
      <c r="A21" s="1"/>
      <c r="B21" s="65" t="s">
        <v>191</v>
      </c>
      <c r="C21" s="23">
        <v>8.6999999999999994E-3</v>
      </c>
      <c r="D21" s="1"/>
    </row>
    <row r="22" spans="1:4" x14ac:dyDescent="0.25">
      <c r="A22" s="1"/>
      <c r="B22" s="65" t="s">
        <v>140</v>
      </c>
      <c r="C22" s="40">
        <v>2.8400000000000002E-2</v>
      </c>
      <c r="D22" s="1"/>
    </row>
    <row r="23" spans="1:4" x14ac:dyDescent="0.25">
      <c r="A23" s="1"/>
      <c r="B23" s="65" t="s">
        <v>192</v>
      </c>
      <c r="C23" s="40">
        <v>2.75E-2</v>
      </c>
      <c r="D23" s="1"/>
    </row>
    <row r="24" spans="1:4" x14ac:dyDescent="0.25">
      <c r="A24" s="1"/>
      <c r="B24" s="65" t="s">
        <v>193</v>
      </c>
      <c r="C24" s="40">
        <v>1.4800000000000001E-2</v>
      </c>
      <c r="D24" s="1"/>
    </row>
    <row r="25" spans="1:4" x14ac:dyDescent="0.25">
      <c r="A25" s="1"/>
      <c r="B25" s="37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7" t="s">
        <v>122</v>
      </c>
      <c r="C28" s="20"/>
      <c r="D28" s="1"/>
    </row>
    <row r="29" spans="1:4" x14ac:dyDescent="0.25">
      <c r="A29" s="1"/>
      <c r="B29" s="65" t="s">
        <v>141</v>
      </c>
      <c r="C29" s="25">
        <v>0.02</v>
      </c>
      <c r="D29" s="1"/>
    </row>
    <row r="30" spans="1:4" x14ac:dyDescent="0.25">
      <c r="A30" s="1"/>
      <c r="B30" s="37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DBxM9ThaJKm1eAtg21Fr0ruZmkcp3G07tPhc0Wa6OZV73gz5iHCFv3C9cWINHs6I2vUl+fdsMsPV1wKJk14NJw==" saltValue="VwYjE14+6l9sWw4uirxpZ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1"/>
      <c r="D8" s="20"/>
      <c r="E8" s="1"/>
    </row>
    <row r="9" spans="1:5" x14ac:dyDescent="0.25">
      <c r="A9" s="1"/>
      <c r="B9" s="32" t="s">
        <v>260</v>
      </c>
      <c r="C9" s="7">
        <f>'Fane 3. Omkostninger i ØR2021'!E20</f>
        <v>141853329.03705546</v>
      </c>
      <c r="D9" s="8" t="s">
        <v>3</v>
      </c>
      <c r="E9" s="1"/>
    </row>
    <row r="10" spans="1:5" ht="17.100000000000001" customHeight="1" x14ac:dyDescent="0.25">
      <c r="A10" s="1"/>
      <c r="B10" s="53" t="s">
        <v>43</v>
      </c>
      <c r="C10" s="7">
        <f>'Fane 10.1. Varige tillæg'!C16</f>
        <v>1490796.4469000001</v>
      </c>
      <c r="D10" s="8" t="s">
        <v>3</v>
      </c>
      <c r="E10" s="1"/>
    </row>
    <row r="11" spans="1:5" ht="17.100000000000001" customHeight="1" x14ac:dyDescent="0.25">
      <c r="A11" s="1"/>
      <c r="B11" s="53" t="s">
        <v>44</v>
      </c>
      <c r="C11" s="9">
        <f>'Fane 10.1. Varige tillæg'!E16</f>
        <v>5263806.4269000003</v>
      </c>
      <c r="D11" s="8" t="s">
        <v>3</v>
      </c>
      <c r="E11" s="1"/>
    </row>
    <row r="12" spans="1:5" ht="17.100000000000001" customHeight="1" x14ac:dyDescent="0.2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20</v>
      </c>
      <c r="C16" s="9">
        <f>SUM(C9:C15)*'Fane 14. Nøgletal'!C14</f>
        <v>490406.17530582304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krav'!G12</f>
        <v>-407753.59800631471</v>
      </c>
      <c r="D17" s="8" t="s">
        <v>3</v>
      </c>
      <c r="E17" s="1"/>
    </row>
    <row r="18" spans="1:5" ht="17.100000000000001" customHeight="1" x14ac:dyDescent="0.25">
      <c r="A18" s="1"/>
      <c r="B18" s="53" t="s">
        <v>26</v>
      </c>
      <c r="C18" s="9">
        <f>-'Fane 4.1. Gen. krav - drift'!G40</f>
        <v>-926525.97540997085</v>
      </c>
      <c r="D18" s="8" t="s">
        <v>3</v>
      </c>
      <c r="E18" s="1"/>
    </row>
    <row r="19" spans="1:5" ht="17.100000000000001" customHeight="1" x14ac:dyDescent="0.25">
      <c r="A19" s="1"/>
      <c r="B19" s="53" t="s">
        <v>27</v>
      </c>
      <c r="C19" s="9">
        <f>-'Fane 4.2. Gen. krav - anlæg'!G37</f>
        <v>-1603010.8481865209</v>
      </c>
      <c r="D19" s="8" t="s">
        <v>3</v>
      </c>
      <c r="E19" s="1"/>
    </row>
    <row r="20" spans="1:5" ht="17.100000000000001" customHeight="1" x14ac:dyDescent="0.25">
      <c r="A20" s="1"/>
      <c r="B20" s="59" t="s">
        <v>22</v>
      </c>
      <c r="C20" s="10">
        <f>SUM(C9:C19)</f>
        <v>146161047.66455847</v>
      </c>
      <c r="D20" s="11" t="s">
        <v>3</v>
      </c>
      <c r="E20" s="1"/>
    </row>
    <row r="21" spans="1:5" ht="15" customHeight="1" x14ac:dyDescent="0.25">
      <c r="A21" s="1"/>
      <c r="B21" s="37" t="s">
        <v>13</v>
      </c>
      <c r="C21" s="31"/>
      <c r="D21" s="20"/>
      <c r="E21" s="1"/>
    </row>
    <row r="22" spans="1:5" ht="15" customHeight="1" x14ac:dyDescent="0.25">
      <c r="A22" s="1"/>
      <c r="B22" s="35" t="s">
        <v>13</v>
      </c>
      <c r="C22" s="10">
        <f>'Fane 6. Ikke-påvirkelige omk.'!C18+'Fane 6. Ikke-påvirkelige omk.'!C22+'Fane 6. Ikke-påvirkelige omk.'!C30</f>
        <v>7711943.4202652657</v>
      </c>
      <c r="D22" s="11" t="s">
        <v>3</v>
      </c>
      <c r="E22" s="1"/>
    </row>
    <row r="23" spans="1:5" ht="15" customHeight="1" x14ac:dyDescent="0.25">
      <c r="A23" s="1"/>
      <c r="B23" s="37" t="s">
        <v>94</v>
      </c>
      <c r="C23" s="31"/>
      <c r="D23" s="20"/>
      <c r="E23" s="1"/>
    </row>
    <row r="24" spans="1:5" ht="15" customHeight="1" x14ac:dyDescent="0.25">
      <c r="A24" s="1"/>
      <c r="B24" s="59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7" t="s">
        <v>93</v>
      </c>
      <c r="C25" s="31"/>
      <c r="D25" s="20"/>
      <c r="E25" s="1"/>
    </row>
    <row r="26" spans="1:5" ht="15" customHeight="1" x14ac:dyDescent="0.25">
      <c r="A26" s="1"/>
      <c r="B26" s="53" t="s">
        <v>89</v>
      </c>
      <c r="C26" s="9">
        <f>'Fane 10.2. Engangstillæg'!C14</f>
        <v>984864.95083562098</v>
      </c>
      <c r="D26" s="8" t="s">
        <v>3</v>
      </c>
      <c r="E26" s="1"/>
    </row>
    <row r="27" spans="1:5" ht="15" customHeight="1" x14ac:dyDescent="0.2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9" t="s">
        <v>95</v>
      </c>
      <c r="C28" s="10">
        <f>SUM(C26:C27)</f>
        <v>984864.95083562098</v>
      </c>
      <c r="D28" s="11" t="s">
        <v>3</v>
      </c>
      <c r="E28" s="1"/>
    </row>
    <row r="29" spans="1:5" x14ac:dyDescent="0.25">
      <c r="A29" s="1"/>
      <c r="B29" s="37" t="s">
        <v>187</v>
      </c>
      <c r="C29" s="31"/>
      <c r="D29" s="20"/>
      <c r="E29" s="1"/>
    </row>
    <row r="30" spans="1:5" x14ac:dyDescent="0.25">
      <c r="A30" s="1"/>
      <c r="B30" s="35" t="s">
        <v>291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7" t="s">
        <v>195</v>
      </c>
      <c r="C31" s="31"/>
      <c r="D31" s="20"/>
      <c r="E31" s="1"/>
    </row>
    <row r="32" spans="1:5" x14ac:dyDescent="0.25">
      <c r="A32" s="1"/>
      <c r="B32" s="35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4" t="s">
        <v>258</v>
      </c>
      <c r="C33" s="31"/>
      <c r="D33" s="20"/>
      <c r="E33" s="1"/>
    </row>
    <row r="34" spans="1:5" x14ac:dyDescent="0.25">
      <c r="A34" s="1"/>
      <c r="B34" s="66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7" t="s">
        <v>32</v>
      </c>
      <c r="C35" s="33">
        <f>SUM(C32,C30,C28,C24,C22,C20)</f>
        <v>154857856.03565937</v>
      </c>
      <c r="D35" s="34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hMJx1y0TputugKHNr2xEcD/vZ66VBYxlT+ubg8IPJUFKJNAfiYK8n0PCvordC/A/eUmyCnrVFWDSYH1T/BTllA==" saltValue="oZ5DpHHGdqPWECYepZTm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/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1"/>
      <c r="D8" s="20"/>
      <c r="E8" s="1"/>
    </row>
    <row r="9" spans="1:5" ht="15" customHeight="1" x14ac:dyDescent="0.25">
      <c r="A9" s="1"/>
      <c r="B9" s="32" t="s">
        <v>151</v>
      </c>
      <c r="C9" s="7">
        <f>'Fane 2.1. Økonomisk ramme 2022'!C20</f>
        <v>146161047.66455847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29" t="s">
        <v>20</v>
      </c>
      <c r="C12" s="9">
        <f>SUM(C9:C11)*'Fane 14. Nøgletal'!C14</f>
        <v>482331.45729304297</v>
      </c>
      <c r="D12" s="8" t="s">
        <v>3</v>
      </c>
      <c r="E12" s="1"/>
    </row>
    <row r="13" spans="1:5" ht="15" customHeight="1" x14ac:dyDescent="0.25">
      <c r="A13" s="1"/>
      <c r="B13" s="29" t="s">
        <v>10</v>
      </c>
      <c r="C13" s="9">
        <f>-SUM(C9:C12)*'Fane 5. Individuelt eff. krav'!G12</f>
        <v>-401039.78507248644</v>
      </c>
      <c r="D13" s="8" t="s">
        <v>3</v>
      </c>
      <c r="E13" s="1"/>
    </row>
    <row r="14" spans="1:5" ht="15" customHeight="1" x14ac:dyDescent="0.25">
      <c r="A14" s="1"/>
      <c r="B14" s="29" t="s">
        <v>26</v>
      </c>
      <c r="C14" s="9">
        <f>-'Fane 4.1. Gen. krav - drift'!G47</f>
        <v>-910991.84090624738</v>
      </c>
      <c r="D14" s="8" t="s">
        <v>3</v>
      </c>
      <c r="E14" s="1"/>
    </row>
    <row r="15" spans="1:5" ht="15" customHeight="1" x14ac:dyDescent="0.25">
      <c r="A15" s="1"/>
      <c r="B15" s="29" t="s">
        <v>27</v>
      </c>
      <c r="C15" s="9">
        <f>-'Fane 4.2. Gen. krav - anlæg'!G44</f>
        <v>-1584497.9323825503</v>
      </c>
      <c r="D15" s="8" t="s">
        <v>3</v>
      </c>
      <c r="E15" s="1"/>
    </row>
    <row r="16" spans="1:5" ht="15" customHeight="1" x14ac:dyDescent="0.25">
      <c r="A16" s="1"/>
      <c r="B16" s="30" t="s">
        <v>22</v>
      </c>
      <c r="C16" s="10">
        <f>SUM(C9:C15)</f>
        <v>143746849.56349024</v>
      </c>
      <c r="D16" s="11" t="s">
        <v>3</v>
      </c>
      <c r="E16" s="1"/>
    </row>
    <row r="17" spans="1:5" x14ac:dyDescent="0.25">
      <c r="A17" s="1"/>
      <c r="B17" s="37" t="s">
        <v>13</v>
      </c>
      <c r="C17" s="31"/>
      <c r="D17" s="20"/>
      <c r="E17" s="1"/>
    </row>
    <row r="18" spans="1:5" ht="15" customHeight="1" x14ac:dyDescent="0.25">
      <c r="A18" s="1"/>
      <c r="B18" s="35" t="s">
        <v>13</v>
      </c>
      <c r="C18" s="10">
        <f>'Fane 6. Ikke-påvirkelige omk.'!C18*(1+'Fane 14. Nøgletal'!C14)+'Fane 6. Ikke-påvirkelige omk.'!C23+'Fane 6. Ikke-påvirkelige omk.'!C31</f>
        <v>3533720.3417521412</v>
      </c>
      <c r="D18" s="11" t="s">
        <v>3</v>
      </c>
      <c r="E18" s="1"/>
    </row>
    <row r="19" spans="1:5" ht="15" customHeight="1" x14ac:dyDescent="0.25">
      <c r="A19" s="1"/>
      <c r="B19" s="37" t="s">
        <v>94</v>
      </c>
      <c r="C19" s="31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7" t="s">
        <v>93</v>
      </c>
      <c r="C21" s="31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7" t="s">
        <v>187</v>
      </c>
      <c r="C25" s="31"/>
      <c r="D25" s="20"/>
      <c r="E25" s="1"/>
    </row>
    <row r="26" spans="1:5" ht="15" customHeight="1" x14ac:dyDescent="0.25">
      <c r="A26" s="1"/>
      <c r="B26" s="35" t="s">
        <v>291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4" t="s">
        <v>258</v>
      </c>
      <c r="C27" s="31"/>
      <c r="D27" s="20"/>
      <c r="E27" s="1"/>
    </row>
    <row r="28" spans="1:5" x14ac:dyDescent="0.25">
      <c r="A28" s="1"/>
      <c r="B28" s="66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7" t="s">
        <v>102</v>
      </c>
      <c r="C29" s="12">
        <f>SUM(C16,C18,C20,C24,C26,C28)</f>
        <v>147280569.90524238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LPszPAtVgi+/iRkzxZzh+vfyNVuMJinj9n6dCRrIUCcTD+zmY7H+PuVjPhmdelpp25jY+sRvmos7zKhPWKQAYA==" saltValue="ePvWOvS36d+6XvkUp6ZS8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1"/>
      <c r="D8" s="20"/>
      <c r="E8" s="1"/>
    </row>
    <row r="9" spans="1:5" ht="15" customHeight="1" x14ac:dyDescent="0.25">
      <c r="A9" s="1"/>
      <c r="B9" s="32" t="s">
        <v>152</v>
      </c>
      <c r="C9" s="7">
        <f>'Fane 2.2. Økonomisk ramme 2023'!C16</f>
        <v>143746849.56349024</v>
      </c>
      <c r="D9" s="8" t="s">
        <v>3</v>
      </c>
      <c r="E9" s="1"/>
    </row>
    <row r="10" spans="1:5" ht="15" customHeight="1" x14ac:dyDescent="0.25">
      <c r="A10" s="1"/>
      <c r="B10" s="32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2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29" t="s">
        <v>20</v>
      </c>
      <c r="C12" s="9">
        <f>SUM(C9:C11)*'Fane 14. Nøgletal'!C14</f>
        <v>474364.60355951777</v>
      </c>
      <c r="D12" s="8" t="s">
        <v>3</v>
      </c>
      <c r="E12" s="1"/>
    </row>
    <row r="13" spans="1:5" ht="15" customHeight="1" x14ac:dyDescent="0.25">
      <c r="A13" s="1"/>
      <c r="B13" s="29" t="s">
        <v>10</v>
      </c>
      <c r="C13" s="9">
        <f>-SUM(C9:C12)*'Fane 5. Individuelt eff. krav'!G12</f>
        <v>-394415.65707775002</v>
      </c>
      <c r="D13" s="8" t="s">
        <v>3</v>
      </c>
      <c r="E13" s="1"/>
    </row>
    <row r="14" spans="1:5" ht="15" customHeight="1" x14ac:dyDescent="0.25">
      <c r="A14" s="1"/>
      <c r="B14" s="29" t="s">
        <v>26</v>
      </c>
      <c r="C14" s="9">
        <f>-'Fane 4.1. Gen. krav - drift'!G55</f>
        <v>-895718.15170161321</v>
      </c>
      <c r="D14" s="8" t="s">
        <v>3</v>
      </c>
      <c r="E14" s="1"/>
    </row>
    <row r="15" spans="1:5" ht="15" customHeight="1" x14ac:dyDescent="0.25">
      <c r="A15" s="1"/>
      <c r="B15" s="29" t="s">
        <v>27</v>
      </c>
      <c r="C15" s="9">
        <f>-'Fane 4.2. Gen. krav - anlæg'!G55</f>
        <v>-1566198.8192811336</v>
      </c>
      <c r="D15" s="8" t="s">
        <v>3</v>
      </c>
      <c r="E15" s="1"/>
    </row>
    <row r="16" spans="1:5" x14ac:dyDescent="0.25">
      <c r="A16" s="1"/>
      <c r="B16" s="30" t="s">
        <v>22</v>
      </c>
      <c r="C16" s="10">
        <f>SUM(C9:C15)</f>
        <v>141364881.53898928</v>
      </c>
      <c r="D16" s="11" t="s">
        <v>3</v>
      </c>
      <c r="E16" s="1"/>
    </row>
    <row r="17" spans="1:5" x14ac:dyDescent="0.25">
      <c r="A17" s="1"/>
      <c r="B17" s="37" t="s">
        <v>13</v>
      </c>
      <c r="C17" s="31"/>
      <c r="D17" s="20"/>
      <c r="E17" s="1"/>
    </row>
    <row r="18" spans="1:5" ht="15" customHeight="1" x14ac:dyDescent="0.25">
      <c r="A18" s="1"/>
      <c r="B18" s="35" t="s">
        <v>13</v>
      </c>
      <c r="C18" s="10">
        <f>'Fane 6. Ikke-påvirkelige omk.'!C18*(1+'Fane 14. Nøgletal'!C14)^2+'Fane 6. Ikke-påvirkelige omk.'!C24+'Fane 6. Ikke-påvirkelige omk.'!C32</f>
        <v>3545381.6188799236</v>
      </c>
      <c r="D18" s="11" t="s">
        <v>3</v>
      </c>
      <c r="E18" s="1"/>
    </row>
    <row r="19" spans="1:5" ht="15" customHeight="1" x14ac:dyDescent="0.25">
      <c r="A19" s="1"/>
      <c r="B19" s="37" t="s">
        <v>94</v>
      </c>
      <c r="C19" s="31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7" t="s">
        <v>93</v>
      </c>
      <c r="C21" s="31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4" t="s">
        <v>258</v>
      </c>
      <c r="C25" s="31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7" t="s">
        <v>153</v>
      </c>
      <c r="C27" s="12">
        <f>SUM(C16,C18,C20,C24,C26)</f>
        <v>144910263.15786919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OWnrLzy2AjKOM113uYk0+8IsdrUCEjnNyLKvXg1rckZNuc98l8TDOhgBzCZ6xfKcu7rZM16aosqSN0iWIZIyw==" saltValue="HaM+OPKKQE1FAXj8RORdk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1"/>
      <c r="D8" s="20"/>
      <c r="E8" s="1"/>
    </row>
    <row r="9" spans="1:5" ht="15" customHeight="1" x14ac:dyDescent="0.25">
      <c r="A9" s="1"/>
      <c r="B9" s="32" t="s">
        <v>199</v>
      </c>
      <c r="C9" s="7">
        <f>'Fane 2.3. Økonomisk ramme 2024'!C16</f>
        <v>141364881.53898928</v>
      </c>
      <c r="D9" s="8" t="s">
        <v>3</v>
      </c>
      <c r="E9" s="1"/>
    </row>
    <row r="10" spans="1:5" ht="15" customHeight="1" x14ac:dyDescent="0.25">
      <c r="A10" s="1"/>
      <c r="B10" s="32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2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29" t="s">
        <v>20</v>
      </c>
      <c r="C12" s="9">
        <f>SUM(C9:C11)*'Fane 14. Nøgletal'!C14</f>
        <v>466504.10907866462</v>
      </c>
      <c r="D12" s="8" t="s">
        <v>3</v>
      </c>
      <c r="E12" s="1"/>
    </row>
    <row r="13" spans="1:5" ht="15" customHeight="1" x14ac:dyDescent="0.25">
      <c r="A13" s="1"/>
      <c r="B13" s="29" t="s">
        <v>10</v>
      </c>
      <c r="C13" s="9">
        <f>-SUM(C9:C12)*'Fane 5. Individuelt eff. krav'!G12</f>
        <v>-387879.96265123127</v>
      </c>
      <c r="D13" s="8" t="s">
        <v>3</v>
      </c>
      <c r="E13" s="1"/>
    </row>
    <row r="14" spans="1:5" ht="15" customHeight="1" x14ac:dyDescent="0.25">
      <c r="A14" s="1"/>
      <c r="B14" s="29" t="s">
        <v>26</v>
      </c>
      <c r="C14" s="9">
        <f>-'Fane 4.1. Gen. krav - drift'!G61</f>
        <v>-880700.54117018403</v>
      </c>
      <c r="D14" s="8" t="s">
        <v>3</v>
      </c>
      <c r="E14" s="1"/>
    </row>
    <row r="15" spans="1:5" ht="15" customHeight="1" x14ac:dyDescent="0.25">
      <c r="A15" s="1"/>
      <c r="B15" s="29" t="s">
        <v>27</v>
      </c>
      <c r="C15" s="9">
        <f>-'Fane 4.2. Gen. krav - anlæg'!G61</f>
        <v>-1548111.039709067</v>
      </c>
      <c r="D15" s="8" t="s">
        <v>3</v>
      </c>
      <c r="E15" s="1"/>
    </row>
    <row r="16" spans="1:5" x14ac:dyDescent="0.25">
      <c r="A16" s="1"/>
      <c r="B16" s="30" t="s">
        <v>22</v>
      </c>
      <c r="C16" s="10">
        <f>SUM(C9:C15)</f>
        <v>139014694.10453749</v>
      </c>
      <c r="D16" s="11" t="s">
        <v>3</v>
      </c>
      <c r="E16" s="1"/>
    </row>
    <row r="17" spans="1:5" x14ac:dyDescent="0.25">
      <c r="A17" s="1"/>
      <c r="B17" s="37" t="s">
        <v>13</v>
      </c>
      <c r="C17" s="31"/>
      <c r="D17" s="20"/>
      <c r="E17" s="1"/>
    </row>
    <row r="18" spans="1:5" ht="15" customHeight="1" x14ac:dyDescent="0.25">
      <c r="A18" s="1"/>
      <c r="B18" s="35" t="s">
        <v>13</v>
      </c>
      <c r="C18" s="10">
        <f>'Fane 6. Ikke-påvirkelige omk.'!C18*(1+'Fane 14. Nøgletal'!C14)^3+'Fane 6. Ikke-påvirkelige omk.'!C25+'Fane 6. Ikke-påvirkelige omk.'!C33</f>
        <v>3557081.3782222276</v>
      </c>
      <c r="D18" s="11" t="s">
        <v>3</v>
      </c>
      <c r="E18" s="1"/>
    </row>
    <row r="19" spans="1:5" ht="15" customHeight="1" x14ac:dyDescent="0.25">
      <c r="A19" s="1"/>
      <c r="B19" s="37" t="s">
        <v>94</v>
      </c>
      <c r="C19" s="31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7" t="s">
        <v>93</v>
      </c>
      <c r="C21" s="31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4" t="s">
        <v>258</v>
      </c>
      <c r="C25" s="31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7" t="s">
        <v>200</v>
      </c>
      <c r="C27" s="12">
        <f>SUM(C16,C18,C20,C24,C26)</f>
        <v>142571775.48275971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NfS9S60VpuYw0vJgdV5L0KgxZwR6p32UPOGCt/x1snSJSjR4P3CHNGy8OgbwZSHYbOXlSPu8nIkpt+a9fsHBrQ==" saltValue="g2CPnMgzsi/yJnfdOxfuJ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250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279</v>
      </c>
      <c r="C8" s="31"/>
      <c r="D8" s="31"/>
      <c r="E8" s="31"/>
      <c r="F8" s="20"/>
      <c r="G8" s="1"/>
    </row>
    <row r="9" spans="1:7" ht="15" customHeight="1" x14ac:dyDescent="0.25">
      <c r="A9" s="1"/>
      <c r="B9" s="89" t="s">
        <v>25</v>
      </c>
      <c r="C9" s="90"/>
      <c r="D9" s="91"/>
      <c r="E9" s="7">
        <v>142569303.10762012</v>
      </c>
      <c r="F9" s="8" t="s">
        <v>3</v>
      </c>
      <c r="G9" s="1"/>
    </row>
    <row r="10" spans="1:7" ht="15" customHeight="1" x14ac:dyDescent="0.25">
      <c r="A10" s="1"/>
      <c r="B10" s="93" t="s">
        <v>43</v>
      </c>
      <c r="C10" s="94"/>
      <c r="D10" s="95"/>
      <c r="E10" s="7">
        <v>326700.70860000001</v>
      </c>
      <c r="F10" s="8" t="s">
        <v>3</v>
      </c>
      <c r="G10" s="1"/>
    </row>
    <row r="11" spans="1:7" ht="15" customHeight="1" x14ac:dyDescent="0.25">
      <c r="A11" s="1"/>
      <c r="B11" s="93" t="s">
        <v>44</v>
      </c>
      <c r="C11" s="94"/>
      <c r="D11" s="95"/>
      <c r="E11" s="9">
        <v>57554.7042</v>
      </c>
      <c r="F11" s="8" t="s">
        <v>3</v>
      </c>
      <c r="G11" s="1"/>
    </row>
    <row r="12" spans="1:7" ht="15" customHeight="1" x14ac:dyDescent="0.25">
      <c r="A12" s="1"/>
      <c r="B12" s="93" t="s">
        <v>29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9" t="s">
        <v>28</v>
      </c>
      <c r="C13" s="90"/>
      <c r="D13" s="91"/>
      <c r="E13" s="9">
        <v>0</v>
      </c>
      <c r="F13" s="8" t="s">
        <v>3</v>
      </c>
      <c r="G13" s="1"/>
    </row>
    <row r="14" spans="1:7" ht="15" customHeight="1" x14ac:dyDescent="0.25">
      <c r="A14" s="1"/>
      <c r="B14" s="89" t="s">
        <v>31</v>
      </c>
      <c r="C14" s="90"/>
      <c r="D14" s="91"/>
      <c r="E14" s="9">
        <v>0</v>
      </c>
      <c r="F14" s="8" t="s">
        <v>3</v>
      </c>
      <c r="G14" s="1"/>
    </row>
    <row r="15" spans="1:7" ht="15" customHeight="1" x14ac:dyDescent="0.25">
      <c r="A15" s="1"/>
      <c r="B15" s="89" t="s">
        <v>30</v>
      </c>
      <c r="C15" s="90"/>
      <c r="D15" s="91"/>
      <c r="E15" s="9">
        <v>0</v>
      </c>
      <c r="F15" s="8" t="s">
        <v>3</v>
      </c>
      <c r="G15" s="1"/>
    </row>
    <row r="16" spans="1:7" ht="15" customHeight="1" x14ac:dyDescent="0.25">
      <c r="A16" s="1"/>
      <c r="B16" s="89" t="s">
        <v>20</v>
      </c>
      <c r="C16" s="90"/>
      <c r="D16" s="91"/>
      <c r="E16" s="9">
        <v>2813303.1872562766</v>
      </c>
      <c r="F16" s="8" t="s">
        <v>3</v>
      </c>
      <c r="G16" s="1"/>
    </row>
    <row r="17" spans="1:7" ht="15" customHeight="1" x14ac:dyDescent="0.25">
      <c r="A17" s="1"/>
      <c r="B17" s="89" t="s">
        <v>10</v>
      </c>
      <c r="C17" s="90"/>
      <c r="D17" s="91"/>
      <c r="E17" s="9">
        <v>0</v>
      </c>
      <c r="F17" s="8" t="s">
        <v>3</v>
      </c>
      <c r="G17" s="1"/>
    </row>
    <row r="18" spans="1:7" ht="15" customHeight="1" x14ac:dyDescent="0.25">
      <c r="A18" s="1"/>
      <c r="B18" s="89" t="s">
        <v>26</v>
      </c>
      <c r="C18" s="90"/>
      <c r="D18" s="91"/>
      <c r="E18" s="9">
        <f>-'Fane 4.1. Gen. krav - drift'!G34</f>
        <v>-911900.57901422784</v>
      </c>
      <c r="F18" s="8" t="s">
        <v>3</v>
      </c>
      <c r="G18" s="1"/>
    </row>
    <row r="19" spans="1:7" ht="15" customHeight="1" x14ac:dyDescent="0.25">
      <c r="A19" s="1"/>
      <c r="B19" s="89" t="s">
        <v>27</v>
      </c>
      <c r="C19" s="90"/>
      <c r="D19" s="91"/>
      <c r="E19" s="9">
        <f>-'Fane 4.2. Gen. krav - anlæg'!G31</f>
        <v>-3001632.0916067017</v>
      </c>
      <c r="F19" s="8" t="s">
        <v>3</v>
      </c>
      <c r="G19" s="1"/>
    </row>
    <row r="20" spans="1:7" ht="15" customHeight="1" x14ac:dyDescent="0.25">
      <c r="A20" s="1"/>
      <c r="B20" s="59" t="s">
        <v>22</v>
      </c>
      <c r="C20" s="60"/>
      <c r="D20" s="67"/>
      <c r="E20" s="10">
        <f>SUM(E9:E19)</f>
        <v>141853329.03705546</v>
      </c>
      <c r="F20" s="11" t="s">
        <v>3</v>
      </c>
      <c r="G20" s="1"/>
    </row>
    <row r="21" spans="1:7" ht="15" customHeight="1" x14ac:dyDescent="0.25">
      <c r="A21" s="1"/>
      <c r="B21" s="37" t="s">
        <v>13</v>
      </c>
      <c r="C21" s="31"/>
      <c r="D21" s="31"/>
      <c r="E21" s="31"/>
      <c r="F21" s="20"/>
      <c r="G21" s="1"/>
    </row>
    <row r="22" spans="1:7" ht="15" customHeight="1" x14ac:dyDescent="0.25">
      <c r="A22" s="1"/>
      <c r="B22" s="96" t="s">
        <v>13</v>
      </c>
      <c r="C22" s="97"/>
      <c r="D22" s="98"/>
      <c r="E22" s="10">
        <v>3724800.5843596798</v>
      </c>
      <c r="F22" s="11" t="s">
        <v>3</v>
      </c>
      <c r="G22" s="1"/>
    </row>
    <row r="23" spans="1:7" ht="15" customHeight="1" x14ac:dyDescent="0.25">
      <c r="A23" s="1"/>
      <c r="B23" s="99" t="s">
        <v>94</v>
      </c>
      <c r="C23" s="100"/>
      <c r="D23" s="101"/>
      <c r="E23" s="31"/>
      <c r="F23" s="31"/>
      <c r="G23" s="1"/>
    </row>
    <row r="24" spans="1:7" ht="15" customHeight="1" x14ac:dyDescent="0.25">
      <c r="A24" s="1"/>
      <c r="B24" s="59" t="s">
        <v>94</v>
      </c>
      <c r="C24" s="42"/>
      <c r="D24" s="43"/>
      <c r="E24" s="10">
        <v>0</v>
      </c>
      <c r="F24" s="11" t="s">
        <v>3</v>
      </c>
      <c r="G24" s="1"/>
    </row>
    <row r="25" spans="1:7" x14ac:dyDescent="0.25">
      <c r="A25" s="1"/>
      <c r="B25" s="37" t="s">
        <v>93</v>
      </c>
      <c r="C25" s="31"/>
      <c r="D25" s="31"/>
      <c r="E25" s="31"/>
      <c r="F25" s="20"/>
      <c r="G25" s="1"/>
    </row>
    <row r="26" spans="1:7" ht="15" customHeight="1" x14ac:dyDescent="0.25">
      <c r="A26" s="1"/>
      <c r="B26" s="93" t="s">
        <v>89</v>
      </c>
      <c r="C26" s="94"/>
      <c r="D26" s="95"/>
      <c r="E26" s="9">
        <v>1586232.127809</v>
      </c>
      <c r="F26" s="8" t="s">
        <v>3</v>
      </c>
      <c r="G26" s="1"/>
    </row>
    <row r="27" spans="1:7" ht="15" customHeight="1" x14ac:dyDescent="0.25">
      <c r="A27" s="1"/>
      <c r="B27" s="93" t="s">
        <v>90</v>
      </c>
      <c r="C27" s="94"/>
      <c r="D27" s="94"/>
      <c r="E27" s="9">
        <v>0</v>
      </c>
      <c r="F27" s="8" t="s">
        <v>3</v>
      </c>
      <c r="G27" s="1"/>
    </row>
    <row r="28" spans="1:7" ht="15" customHeight="1" x14ac:dyDescent="0.25">
      <c r="A28" s="1"/>
      <c r="B28" s="102" t="s">
        <v>95</v>
      </c>
      <c r="C28" s="103"/>
      <c r="D28" s="103"/>
      <c r="E28" s="44">
        <v>1554507.48525282</v>
      </c>
      <c r="F28" s="11" t="s">
        <v>3</v>
      </c>
      <c r="G28" s="1"/>
    </row>
    <row r="29" spans="1:7" ht="15" customHeight="1" x14ac:dyDescent="0.25">
      <c r="A29" s="1"/>
      <c r="B29" s="37" t="s">
        <v>187</v>
      </c>
      <c r="C29" s="37"/>
      <c r="D29" s="37"/>
      <c r="E29" s="31"/>
      <c r="F29" s="31"/>
      <c r="G29" s="1"/>
    </row>
    <row r="30" spans="1:7" ht="15" customHeight="1" x14ac:dyDescent="0.25">
      <c r="A30" s="1"/>
      <c r="B30" s="96" t="s">
        <v>185</v>
      </c>
      <c r="C30" s="97"/>
      <c r="D30" s="97"/>
      <c r="E30" s="44">
        <v>0</v>
      </c>
      <c r="F30" s="11" t="s">
        <v>3</v>
      </c>
      <c r="G30" s="1"/>
    </row>
    <row r="31" spans="1:7" x14ac:dyDescent="0.25">
      <c r="A31" s="1"/>
      <c r="B31" s="37" t="s">
        <v>148</v>
      </c>
      <c r="C31" s="31"/>
      <c r="D31" s="31"/>
      <c r="E31" s="31"/>
      <c r="F31" s="31"/>
      <c r="G31" s="1"/>
    </row>
    <row r="32" spans="1:7" ht="15.4" customHeight="1" x14ac:dyDescent="0.25">
      <c r="A32" s="1"/>
      <c r="B32" s="96" t="s">
        <v>148</v>
      </c>
      <c r="C32" s="97"/>
      <c r="D32" s="98"/>
      <c r="E32" s="10">
        <v>0</v>
      </c>
      <c r="F32" s="11" t="s">
        <v>3</v>
      </c>
      <c r="G32" s="1"/>
    </row>
    <row r="33" spans="1:7" x14ac:dyDescent="0.25">
      <c r="A33" s="1"/>
      <c r="B33" s="37" t="s">
        <v>251</v>
      </c>
      <c r="C33" s="31"/>
      <c r="D33" s="20"/>
      <c r="E33" s="12">
        <f>SUM(E32,E30,E28,E24,E22,E20)</f>
        <v>147132637.10666797</v>
      </c>
      <c r="F33" s="13" t="s">
        <v>3</v>
      </c>
      <c r="G33" s="1"/>
    </row>
    <row r="34" spans="1:7" ht="27" customHeight="1" x14ac:dyDescent="0.25">
      <c r="A34" s="1"/>
      <c r="B34" s="89" t="s">
        <v>252</v>
      </c>
      <c r="C34" s="90"/>
      <c r="D34" s="90"/>
      <c r="E34" s="90"/>
      <c r="F34" s="9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RjXo6iB8/vjBNNzebt7pC7OMhHdaUVldEB4W49yyOFOgPrW1hoO6w0hGW/+8nstVztDSNpLv6xR4slTk+LyNA==" saltValue="p95N42VLKoNCAtdZ5sQC+Q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140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1"/>
      <c r="C1" s="41"/>
      <c r="D1" s="41"/>
      <c r="E1" s="41"/>
      <c r="F1" s="41"/>
      <c r="G1" s="41"/>
      <c r="H1" s="41"/>
      <c r="I1" s="1"/>
    </row>
    <row r="2" spans="1:9" ht="15" customHeight="1" x14ac:dyDescent="0.25">
      <c r="A2" s="1"/>
      <c r="B2" s="92" t="s">
        <v>130</v>
      </c>
      <c r="C2" s="92"/>
      <c r="D2" s="92"/>
      <c r="E2" s="92"/>
      <c r="F2" s="92"/>
      <c r="G2" s="92"/>
      <c r="H2" s="92"/>
      <c r="I2" s="1"/>
    </row>
    <row r="3" spans="1:9" ht="28.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ht="14.25" customHeight="1" x14ac:dyDescent="0.25">
      <c r="A4" s="1"/>
      <c r="B4" s="41"/>
      <c r="C4" s="41"/>
      <c r="D4" s="41"/>
      <c r="E4" s="41"/>
      <c r="F4" s="41"/>
      <c r="G4" s="41"/>
      <c r="H4" s="41"/>
      <c r="I4" s="1"/>
    </row>
    <row r="5" spans="1:9" x14ac:dyDescent="0.25">
      <c r="A5" s="1"/>
      <c r="B5" s="99" t="s">
        <v>56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4" t="s">
        <v>45</v>
      </c>
      <c r="C6" s="105"/>
      <c r="D6" s="105"/>
      <c r="E6" s="105"/>
      <c r="F6" s="106"/>
      <c r="G6" s="51">
        <v>44586064.453811437</v>
      </c>
      <c r="H6" s="14" t="s">
        <v>3</v>
      </c>
      <c r="I6" s="1"/>
    </row>
    <row r="7" spans="1:9" x14ac:dyDescent="0.25">
      <c r="A7" s="1"/>
      <c r="B7" s="89" t="s">
        <v>145</v>
      </c>
      <c r="C7" s="90"/>
      <c r="D7" s="90"/>
      <c r="E7" s="90"/>
      <c r="F7" s="91"/>
      <c r="G7" s="9">
        <v>0</v>
      </c>
      <c r="H7" s="14" t="s">
        <v>3</v>
      </c>
      <c r="I7" s="1"/>
    </row>
    <row r="8" spans="1:9" x14ac:dyDescent="0.25">
      <c r="A8" s="1"/>
      <c r="B8" s="104" t="s">
        <v>46</v>
      </c>
      <c r="C8" s="105"/>
      <c r="D8" s="105"/>
      <c r="E8" s="105"/>
      <c r="F8" s="106"/>
      <c r="G8" s="51">
        <f>SUM(G6:G7)*'Fane 14. Nøgletal'!C29</f>
        <v>891721.28907622874</v>
      </c>
      <c r="H8" s="14" t="s">
        <v>3</v>
      </c>
      <c r="I8" s="1"/>
    </row>
    <row r="9" spans="1:9" x14ac:dyDescent="0.25">
      <c r="A9" s="1"/>
      <c r="B9" s="37"/>
      <c r="C9" s="31"/>
      <c r="D9" s="31"/>
      <c r="E9" s="31"/>
      <c r="F9" s="31"/>
      <c r="G9" s="31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9" t="s">
        <v>57</v>
      </c>
      <c r="C11" s="100"/>
      <c r="D11" s="100"/>
      <c r="E11" s="100"/>
      <c r="F11" s="100"/>
      <c r="G11" s="100"/>
      <c r="H11" s="101"/>
      <c r="I11" s="1"/>
    </row>
    <row r="12" spans="1:9" x14ac:dyDescent="0.25">
      <c r="A12" s="1"/>
      <c r="B12" s="104" t="s">
        <v>47</v>
      </c>
      <c r="C12" s="105"/>
      <c r="D12" s="105"/>
      <c r="E12" s="105"/>
      <c r="F12" s="106"/>
      <c r="G12" s="51">
        <f>(G6-G8)*(1+'Fane 14. Nøgletal'!C10)</f>
        <v>44458994.170118071</v>
      </c>
      <c r="H12" s="14" t="s">
        <v>3</v>
      </c>
      <c r="I12" s="1"/>
    </row>
    <row r="13" spans="1:9" ht="15" customHeight="1" x14ac:dyDescent="0.25">
      <c r="A13" s="1"/>
      <c r="B13" s="104" t="s">
        <v>146</v>
      </c>
      <c r="C13" s="105"/>
      <c r="D13" s="105"/>
      <c r="E13" s="105"/>
      <c r="F13" s="106"/>
      <c r="G13" s="51">
        <v>4057.3799351990037</v>
      </c>
      <c r="H13" s="14" t="s">
        <v>3</v>
      </c>
      <c r="I13" s="1"/>
    </row>
    <row r="14" spans="1:9" x14ac:dyDescent="0.25">
      <c r="A14" s="1"/>
      <c r="B14" s="89" t="s">
        <v>143</v>
      </c>
      <c r="C14" s="90"/>
      <c r="D14" s="90"/>
      <c r="E14" s="90"/>
      <c r="F14" s="91"/>
      <c r="G14" s="9">
        <v>0</v>
      </c>
      <c r="H14" s="14" t="s">
        <v>3</v>
      </c>
      <c r="I14" s="1"/>
    </row>
    <row r="15" spans="1:9" x14ac:dyDescent="0.25">
      <c r="A15" s="1"/>
      <c r="B15" s="110" t="s">
        <v>48</v>
      </c>
      <c r="C15" s="111"/>
      <c r="D15" s="111"/>
      <c r="E15" s="111"/>
      <c r="F15" s="112"/>
      <c r="G15" s="9">
        <v>0</v>
      </c>
      <c r="H15" s="14" t="s">
        <v>3</v>
      </c>
      <c r="I15" s="1"/>
    </row>
    <row r="16" spans="1:9" x14ac:dyDescent="0.25">
      <c r="A16" s="1"/>
      <c r="B16" s="104" t="s">
        <v>49</v>
      </c>
      <c r="C16" s="105"/>
      <c r="D16" s="105"/>
      <c r="E16" s="105"/>
      <c r="F16" s="106"/>
      <c r="G16" s="51">
        <f>SUM(G12:G15)*'Fane 14. Nøgletal'!C29</f>
        <v>889261.03100106539</v>
      </c>
      <c r="H16" s="14" t="s">
        <v>3</v>
      </c>
      <c r="I16" s="1"/>
    </row>
    <row r="17" spans="1:9" x14ac:dyDescent="0.25">
      <c r="A17" s="1"/>
      <c r="B17" s="37"/>
      <c r="C17" s="31"/>
      <c r="D17" s="31"/>
      <c r="E17" s="31"/>
      <c r="F17" s="31"/>
      <c r="G17" s="31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9" t="s">
        <v>58</v>
      </c>
      <c r="C19" s="100"/>
      <c r="D19" s="100"/>
      <c r="E19" s="100"/>
      <c r="F19" s="100"/>
      <c r="G19" s="100"/>
      <c r="H19" s="101"/>
      <c r="I19" s="1"/>
    </row>
    <row r="20" spans="1:9" x14ac:dyDescent="0.25">
      <c r="A20" s="1"/>
      <c r="B20" s="104" t="s">
        <v>50</v>
      </c>
      <c r="C20" s="105"/>
      <c r="D20" s="105"/>
      <c r="E20" s="105"/>
      <c r="F20" s="106"/>
      <c r="G20" s="51">
        <f>(SUM(G12:G13,G15)-(G16))*(1+'Fane 14. Nøgletal'!C10)</f>
        <v>44336331.853135616</v>
      </c>
      <c r="H20" s="14" t="s">
        <v>3</v>
      </c>
      <c r="I20" s="1"/>
    </row>
    <row r="21" spans="1:9" x14ac:dyDescent="0.25">
      <c r="A21" s="1"/>
      <c r="B21" s="110" t="s">
        <v>51</v>
      </c>
      <c r="C21" s="111"/>
      <c r="D21" s="111"/>
      <c r="E21" s="111"/>
      <c r="F21" s="112"/>
      <c r="G21" s="51">
        <v>5027916.5757434592</v>
      </c>
      <c r="H21" s="14" t="s">
        <v>3</v>
      </c>
      <c r="I21" s="1"/>
    </row>
    <row r="22" spans="1:9" x14ac:dyDescent="0.25">
      <c r="A22" s="1"/>
      <c r="B22" s="104" t="s">
        <v>52</v>
      </c>
      <c r="C22" s="105"/>
      <c r="D22" s="105"/>
      <c r="E22" s="105"/>
      <c r="F22" s="106"/>
      <c r="G22" s="51">
        <f>SUM(G20:G21)*'Fane 14. Nøgletal'!C29</f>
        <v>987284.96857758146</v>
      </c>
      <c r="H22" s="14" t="s">
        <v>3</v>
      </c>
      <c r="I22" s="1"/>
    </row>
    <row r="23" spans="1:9" x14ac:dyDescent="0.25">
      <c r="A23" s="1"/>
      <c r="B23" s="37"/>
      <c r="C23" s="31"/>
      <c r="D23" s="31"/>
      <c r="E23" s="31"/>
      <c r="F23" s="31"/>
      <c r="G23" s="31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9" t="s">
        <v>59</v>
      </c>
      <c r="C25" s="100"/>
      <c r="D25" s="100"/>
      <c r="E25" s="100"/>
      <c r="F25" s="100"/>
      <c r="G25" s="100"/>
      <c r="H25" s="101"/>
      <c r="I25" s="1"/>
    </row>
    <row r="26" spans="1:9" x14ac:dyDescent="0.25">
      <c r="A26" s="1"/>
      <c r="B26" s="104" t="s">
        <v>53</v>
      </c>
      <c r="C26" s="105"/>
      <c r="D26" s="105"/>
      <c r="E26" s="105"/>
      <c r="F26" s="106"/>
      <c r="G26" s="51">
        <f>(G20+G21-G22)*(1+'Fane 14. Nøgletal'!C12)</f>
        <v>49329989.640469439</v>
      </c>
      <c r="H26" s="14" t="s">
        <v>3</v>
      </c>
      <c r="I26" s="1"/>
    </row>
    <row r="27" spans="1:9" x14ac:dyDescent="0.25">
      <c r="A27" s="1"/>
      <c r="B27" s="110" t="s">
        <v>54</v>
      </c>
      <c r="C27" s="111"/>
      <c r="D27" s="111"/>
      <c r="E27" s="111"/>
      <c r="F27" s="112"/>
      <c r="G27" s="51">
        <v>-4034211.8772352845</v>
      </c>
      <c r="H27" s="14" t="s">
        <v>3</v>
      </c>
      <c r="I27" s="1"/>
    </row>
    <row r="28" spans="1:9" x14ac:dyDescent="0.25">
      <c r="A28" s="1"/>
      <c r="B28" s="104" t="s">
        <v>55</v>
      </c>
      <c r="C28" s="105"/>
      <c r="D28" s="105"/>
      <c r="E28" s="105"/>
      <c r="F28" s="106"/>
      <c r="G28" s="51">
        <f>(G26+G27)*'Fane 14. Nøgletal'!C29</f>
        <v>905915.55526468309</v>
      </c>
      <c r="H28" s="14" t="s">
        <v>3</v>
      </c>
      <c r="I28" s="1"/>
    </row>
    <row r="29" spans="1:9" x14ac:dyDescent="0.25">
      <c r="A29" s="1"/>
      <c r="B29" s="37"/>
      <c r="C29" s="31"/>
      <c r="D29" s="31"/>
      <c r="E29" s="31"/>
      <c r="F29" s="31"/>
      <c r="G29" s="31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9" t="s">
        <v>62</v>
      </c>
      <c r="C31" s="100"/>
      <c r="D31" s="100"/>
      <c r="E31" s="100"/>
      <c r="F31" s="100"/>
      <c r="G31" s="100"/>
      <c r="H31" s="101"/>
      <c r="I31" s="1"/>
    </row>
    <row r="32" spans="1:9" x14ac:dyDescent="0.25">
      <c r="A32" s="1"/>
      <c r="B32" s="104" t="s">
        <v>63</v>
      </c>
      <c r="C32" s="105"/>
      <c r="D32" s="105"/>
      <c r="E32" s="105"/>
      <c r="F32" s="106"/>
      <c r="G32" s="51">
        <f>(G26+G27-G28)*(1+'Fane 14. Nøgletal'!C12)</f>
        <v>45264342.493466474</v>
      </c>
      <c r="H32" s="14" t="s">
        <v>3</v>
      </c>
      <c r="I32" s="1"/>
    </row>
    <row r="33" spans="1:9" x14ac:dyDescent="0.25">
      <c r="A33" s="1"/>
      <c r="B33" s="104" t="s">
        <v>171</v>
      </c>
      <c r="C33" s="105"/>
      <c r="D33" s="105"/>
      <c r="E33" s="105"/>
      <c r="F33" s="106"/>
      <c r="G33" s="51">
        <v>330686.45724492002</v>
      </c>
      <c r="H33" s="14" t="s">
        <v>3</v>
      </c>
      <c r="I33" s="1"/>
    </row>
    <row r="34" spans="1:9" x14ac:dyDescent="0.25">
      <c r="A34" s="1"/>
      <c r="B34" s="104" t="s">
        <v>64</v>
      </c>
      <c r="C34" s="105"/>
      <c r="D34" s="105"/>
      <c r="E34" s="105"/>
      <c r="F34" s="106"/>
      <c r="G34" s="51">
        <f>(G32+G33)*'Fane 14. Nøgletal'!C29</f>
        <v>911900.57901422784</v>
      </c>
      <c r="H34" s="14" t="s">
        <v>3</v>
      </c>
      <c r="I34" s="1"/>
    </row>
    <row r="35" spans="1:9" x14ac:dyDescent="0.25">
      <c r="A35" s="1"/>
      <c r="B35" s="37"/>
      <c r="C35" s="31"/>
      <c r="D35" s="31"/>
      <c r="E35" s="31"/>
      <c r="F35" s="31"/>
      <c r="G35" s="31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9" t="s">
        <v>232</v>
      </c>
      <c r="C37" s="100"/>
      <c r="D37" s="100"/>
      <c r="E37" s="100"/>
      <c r="F37" s="100"/>
      <c r="G37" s="100"/>
      <c r="H37" s="101"/>
      <c r="I37" s="1"/>
    </row>
    <row r="38" spans="1:9" x14ac:dyDescent="0.25">
      <c r="A38" s="1"/>
      <c r="B38" s="104" t="s">
        <v>84</v>
      </c>
      <c r="C38" s="105"/>
      <c r="D38" s="105"/>
      <c r="E38" s="105"/>
      <c r="F38" s="106"/>
      <c r="G38" s="51">
        <f>(G32+G33-G34)*(1+'Fane 14. Nøgletal'!C14)</f>
        <v>44830582.695323773</v>
      </c>
      <c r="H38" s="14" t="s">
        <v>3</v>
      </c>
      <c r="I38" s="1"/>
    </row>
    <row r="39" spans="1:9" x14ac:dyDescent="0.25">
      <c r="A39" s="1"/>
      <c r="B39" s="104" t="s">
        <v>236</v>
      </c>
      <c r="C39" s="105"/>
      <c r="D39" s="105"/>
      <c r="E39" s="105"/>
      <c r="F39" s="106"/>
      <c r="G39" s="51">
        <f>SUM('Fane 2.1. Økonomisk ramme 2022'!C10,'Fane 2.1. Økonomisk ramme 2022'!C12,'Fane 2.1. Økonomisk ramme 2022'!C14)*(1+'Fane 14. Nøgletal'!C14)</f>
        <v>1495716.0751747703</v>
      </c>
      <c r="H39" s="14" t="s">
        <v>3</v>
      </c>
      <c r="I39" s="1"/>
    </row>
    <row r="40" spans="1:9" x14ac:dyDescent="0.25">
      <c r="A40" s="1"/>
      <c r="B40" s="104" t="s">
        <v>234</v>
      </c>
      <c r="C40" s="105"/>
      <c r="D40" s="105"/>
      <c r="E40" s="105"/>
      <c r="F40" s="106"/>
      <c r="G40" s="51">
        <f>(G38+G39)*'Fane 14. Nøgletal'!C29</f>
        <v>926525.97540997085</v>
      </c>
      <c r="H40" s="14" t="s">
        <v>3</v>
      </c>
      <c r="I40" s="1"/>
    </row>
    <row r="41" spans="1:9" x14ac:dyDescent="0.25">
      <c r="A41" s="1"/>
      <c r="B41" s="37"/>
      <c r="C41" s="31"/>
      <c r="D41" s="31"/>
      <c r="E41" s="31"/>
      <c r="F41" s="31"/>
      <c r="G41" s="31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9" t="s">
        <v>233</v>
      </c>
      <c r="C43" s="100"/>
      <c r="D43" s="100"/>
      <c r="E43" s="100"/>
      <c r="F43" s="100"/>
      <c r="G43" s="100"/>
      <c r="H43" s="101"/>
      <c r="I43" s="1"/>
    </row>
    <row r="44" spans="1:9" x14ac:dyDescent="0.25">
      <c r="A44" s="1"/>
      <c r="B44" s="104" t="s">
        <v>83</v>
      </c>
      <c r="C44" s="105"/>
      <c r="D44" s="105"/>
      <c r="E44" s="105"/>
      <c r="F44" s="106"/>
      <c r="G44" s="51">
        <f>(G38+G39-G40)*(1+'Fane 14. Nøgletal'!C14)</f>
        <v>45549592.045312367</v>
      </c>
      <c r="H44" s="14" t="s">
        <v>3</v>
      </c>
      <c r="I44" s="1"/>
    </row>
    <row r="45" spans="1:9" x14ac:dyDescent="0.25">
      <c r="A45" s="1"/>
      <c r="B45" s="107" t="s">
        <v>237</v>
      </c>
      <c r="C45" s="108"/>
      <c r="D45" s="108"/>
      <c r="E45" s="108"/>
      <c r="F45" s="109"/>
      <c r="G45" s="51">
        <f>G39*(1+'Fane 14. Nøgletal'!C14)</f>
        <v>1500651.9382228472</v>
      </c>
      <c r="H45" s="14" t="s">
        <v>3</v>
      </c>
      <c r="I45" s="1"/>
    </row>
    <row r="46" spans="1:9" x14ac:dyDescent="0.25">
      <c r="A46" s="1"/>
      <c r="B46" s="104" t="s">
        <v>97</v>
      </c>
      <c r="C46" s="105"/>
      <c r="D46" s="105"/>
      <c r="E46" s="105"/>
      <c r="F46" s="106"/>
      <c r="G46" s="9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4" t="s">
        <v>235</v>
      </c>
      <c r="C47" s="105"/>
      <c r="D47" s="105"/>
      <c r="E47" s="105"/>
      <c r="F47" s="106"/>
      <c r="G47" s="51">
        <f>(G44+G46)*'Fane 14. Nøgletal'!C29</f>
        <v>910991.84090624738</v>
      </c>
      <c r="H47" s="14" t="s">
        <v>3</v>
      </c>
      <c r="I47" s="1"/>
    </row>
    <row r="48" spans="1:9" x14ac:dyDescent="0.25">
      <c r="A48" s="1"/>
      <c r="B48" s="37"/>
      <c r="C48" s="31"/>
      <c r="D48" s="31"/>
      <c r="E48" s="31"/>
      <c r="F48" s="31"/>
      <c r="G48" s="31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172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173</v>
      </c>
      <c r="C53" s="105"/>
      <c r="D53" s="105"/>
      <c r="E53" s="105"/>
      <c r="F53" s="106"/>
      <c r="G53" s="51">
        <f>(G44+G46-G47)*(1+'Fane 14. Nøgletal'!C14)</f>
        <v>44785907.585080661</v>
      </c>
      <c r="H53" s="14" t="s">
        <v>3</v>
      </c>
      <c r="I53" s="1"/>
    </row>
    <row r="54" spans="1:9" x14ac:dyDescent="0.25">
      <c r="A54" s="1"/>
      <c r="B54" s="104" t="s">
        <v>174</v>
      </c>
      <c r="C54" s="105"/>
      <c r="D54" s="105"/>
      <c r="E54" s="105"/>
      <c r="F54" s="106"/>
      <c r="G54" s="9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4" t="s">
        <v>175</v>
      </c>
      <c r="C55" s="105"/>
      <c r="D55" s="105"/>
      <c r="E55" s="105"/>
      <c r="F55" s="106"/>
      <c r="G55" s="51">
        <f>(G53+G54)*'Fane 14. Nøgletal'!C29</f>
        <v>895718.15170161321</v>
      </c>
      <c r="H55" s="14" t="s">
        <v>3</v>
      </c>
      <c r="I55" s="1"/>
    </row>
    <row r="56" spans="1:9" x14ac:dyDescent="0.25">
      <c r="A56" s="1"/>
      <c r="B56" s="37"/>
      <c r="C56" s="31"/>
      <c r="D56" s="31"/>
      <c r="E56" s="31"/>
      <c r="F56" s="31"/>
      <c r="G56" s="31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6" t="s">
        <v>201</v>
      </c>
      <c r="C58" s="57"/>
      <c r="D58" s="57"/>
      <c r="E58" s="57"/>
      <c r="F58" s="57"/>
      <c r="G58" s="57"/>
      <c r="H58" s="58"/>
      <c r="I58" s="1"/>
    </row>
    <row r="59" spans="1:9" x14ac:dyDescent="0.25">
      <c r="A59" s="1"/>
      <c r="B59" s="62" t="s">
        <v>202</v>
      </c>
      <c r="C59" s="63"/>
      <c r="D59" s="63"/>
      <c r="E59" s="63"/>
      <c r="F59" s="64"/>
      <c r="G59" s="51">
        <f>(G53+G54-G55)*(1+'Fane 14. Nøgletal'!C14)</f>
        <v>44035027.058509201</v>
      </c>
      <c r="H59" s="14" t="s">
        <v>3</v>
      </c>
      <c r="I59" s="1"/>
    </row>
    <row r="60" spans="1:9" x14ac:dyDescent="0.25">
      <c r="A60" s="1"/>
      <c r="B60" s="62" t="s">
        <v>203</v>
      </c>
      <c r="C60" s="63"/>
      <c r="D60" s="63"/>
      <c r="E60" s="63"/>
      <c r="F60" s="64"/>
      <c r="G60" s="9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62" t="s">
        <v>204</v>
      </c>
      <c r="C61" s="63"/>
      <c r="D61" s="63"/>
      <c r="E61" s="63"/>
      <c r="F61" s="64"/>
      <c r="G61" s="51">
        <f>(G59+G60)*'Fane 14. Nøgletal'!C29</f>
        <v>880700.54117018403</v>
      </c>
      <c r="H61" s="14" t="s">
        <v>3</v>
      </c>
      <c r="I61" s="1"/>
    </row>
    <row r="62" spans="1:9" x14ac:dyDescent="0.25">
      <c r="A62" s="1"/>
      <c r="B62" s="37"/>
      <c r="C62" s="31"/>
      <c r="D62" s="31"/>
      <c r="E62" s="31"/>
      <c r="F62" s="31"/>
      <c r="G62" s="31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eE/7ExDFd86E6ex78FZQxuYgpfTjSN1RYR7UOVNcyUusN5vIB//13Y7sVKcEyxKbGnmGgQWIQAWChTo3/dSvdg==" saltValue="W4XINZc12EngmmdTTW5vHQ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8.710937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9" t="s">
        <v>60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51">
        <v>104117569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51">
        <f>G5*'Fane 14. Nøgletal'!C19</f>
        <v>947469.87790000008</v>
      </c>
      <c r="H6" s="14" t="s">
        <v>3</v>
      </c>
      <c r="I6" s="1"/>
    </row>
    <row r="7" spans="1:9" x14ac:dyDescent="0.25">
      <c r="A7" s="1"/>
      <c r="B7" s="37"/>
      <c r="C7" s="31"/>
      <c r="D7" s="31"/>
      <c r="E7" s="31"/>
      <c r="F7" s="31"/>
      <c r="G7" s="3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9" t="s">
        <v>66</v>
      </c>
      <c r="C9" s="100"/>
      <c r="D9" s="100"/>
      <c r="E9" s="100"/>
      <c r="F9" s="100"/>
      <c r="G9" s="100"/>
      <c r="H9" s="101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51">
        <f>(G5-G6)*(1+'Fane 14. Nøgletal'!C10)</f>
        <v>104975575.85673675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51">
        <v>186875.81929764227</v>
      </c>
      <c r="H11" s="14" t="s">
        <v>3</v>
      </c>
      <c r="I11" s="1"/>
    </row>
    <row r="12" spans="1:9" x14ac:dyDescent="0.25">
      <c r="A12" s="1"/>
      <c r="B12" s="110" t="s">
        <v>68</v>
      </c>
      <c r="C12" s="111"/>
      <c r="D12" s="111"/>
      <c r="E12" s="111"/>
      <c r="F12" s="112"/>
      <c r="G12" s="9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51">
        <f>SUM(G10:G12)*'Fane 14. Nøgletal'!C20</f>
        <v>1861375.3946658089</v>
      </c>
      <c r="H13" s="14" t="s">
        <v>3</v>
      </c>
      <c r="I13" s="1"/>
    </row>
    <row r="14" spans="1:9" x14ac:dyDescent="0.25">
      <c r="A14" s="1"/>
      <c r="B14" s="37"/>
      <c r="C14" s="31"/>
      <c r="D14" s="31"/>
      <c r="E14" s="31"/>
      <c r="F14" s="31"/>
      <c r="G14" s="31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70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51">
        <f>(SUM(G10:G12)-G13)*(1+'Fane 14. Nøgletal'!C10)</f>
        <v>105108845.11629254</v>
      </c>
      <c r="H17" s="14" t="s">
        <v>3</v>
      </c>
      <c r="I17" s="1"/>
    </row>
    <row r="18" spans="1:9" x14ac:dyDescent="0.25">
      <c r="A18" s="1"/>
      <c r="B18" s="110" t="s">
        <v>72</v>
      </c>
      <c r="C18" s="111"/>
      <c r="D18" s="111"/>
      <c r="E18" s="111"/>
      <c r="F18" s="112"/>
      <c r="G18" s="51">
        <v>622074.88040769985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51">
        <f>G17*'Fane 14. Nøgletal'!C20+G18*'Fane 14. Nøgletal'!C21</f>
        <v>1865838.6100179248</v>
      </c>
      <c r="H19" s="14" t="s">
        <v>3</v>
      </c>
      <c r="I19" s="1"/>
    </row>
    <row r="20" spans="1:9" x14ac:dyDescent="0.25">
      <c r="A20" s="1"/>
      <c r="B20" s="37"/>
      <c r="C20" s="31"/>
      <c r="D20" s="31"/>
      <c r="E20" s="31"/>
      <c r="F20" s="31"/>
      <c r="G20" s="3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9" t="s">
        <v>74</v>
      </c>
      <c r="C22" s="100"/>
      <c r="D22" s="100"/>
      <c r="E22" s="100"/>
      <c r="F22" s="100"/>
      <c r="G22" s="100"/>
      <c r="H22" s="101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51">
        <f>(G17+G18-G19)*(1+'Fane 14. Nøgletal'!C12)</f>
        <v>105911223.48999996</v>
      </c>
      <c r="H23" s="14" t="s">
        <v>3</v>
      </c>
      <c r="I23" s="1"/>
    </row>
    <row r="24" spans="1:9" x14ac:dyDescent="0.25">
      <c r="A24" s="1"/>
      <c r="B24" s="110" t="s">
        <v>76</v>
      </c>
      <c r="C24" s="111"/>
      <c r="D24" s="111"/>
      <c r="E24" s="111"/>
      <c r="F24" s="112"/>
      <c r="G24" s="51">
        <v>710902.07734491013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51">
        <f>(G23+G24)*'Fane 14. Nøgletal'!C22</f>
        <v>3028068.3661125945</v>
      </c>
      <c r="H25" s="14" t="s">
        <v>3</v>
      </c>
      <c r="I25" s="1"/>
    </row>
    <row r="26" spans="1:9" x14ac:dyDescent="0.25">
      <c r="A26" s="1"/>
      <c r="B26" s="37"/>
      <c r="C26" s="31"/>
      <c r="D26" s="31"/>
      <c r="E26" s="31"/>
      <c r="F26" s="31"/>
      <c r="G26" s="3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9" t="s">
        <v>78</v>
      </c>
      <c r="C28" s="100"/>
      <c r="D28" s="100"/>
      <c r="E28" s="100"/>
      <c r="F28" s="100"/>
      <c r="G28" s="100"/>
      <c r="H28" s="101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51">
        <f>(G23+G24-G25)*(1+'Fane 14. Nøgletal'!C12)</f>
        <v>105634860.12809657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51">
        <v>58256.87159124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51">
        <f>G29*'Fane 14. Nøgletal'!C22+G30*'Fane 14. Nøgletal'!C23</f>
        <v>3001632.0916067017</v>
      </c>
      <c r="H31" s="14" t="s">
        <v>3</v>
      </c>
      <c r="I31" s="1"/>
    </row>
    <row r="32" spans="1:9" x14ac:dyDescent="0.25">
      <c r="A32" s="1"/>
      <c r="B32" s="37"/>
      <c r="C32" s="31"/>
      <c r="D32" s="31"/>
      <c r="E32" s="31"/>
      <c r="F32" s="31"/>
      <c r="G32" s="3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9" t="s">
        <v>238</v>
      </c>
      <c r="C34" s="100"/>
      <c r="D34" s="100"/>
      <c r="E34" s="100"/>
      <c r="F34" s="100"/>
      <c r="G34" s="100"/>
      <c r="H34" s="101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51">
        <f>(G29+G30-G31)*(1+'Fane 14. Nøgletal'!C14)</f>
        <v>103030366.80827777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51">
        <f>SUM('Fane 2.1. Økonomisk ramme 2022'!C11,'Fane 2.1. Økonomisk ramme 2022'!C13,'Fane 2.1. Økonomisk ramme 2022'!C15)*(1+'Fane 14. Nøgletal'!C14)</f>
        <v>5281176.9881087709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51">
        <f>(G35+G36)*'Fane 14. Nøgletal'!C24</f>
        <v>1603010.8481865209</v>
      </c>
      <c r="H37" s="14" t="s">
        <v>3</v>
      </c>
      <c r="I37" s="1"/>
    </row>
    <row r="38" spans="1:9" x14ac:dyDescent="0.25">
      <c r="A38" s="1"/>
      <c r="B38" s="37"/>
      <c r="C38" s="31"/>
      <c r="D38" s="31"/>
      <c r="E38" s="31"/>
      <c r="F38" s="31"/>
      <c r="G38" s="31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9" t="s">
        <v>85</v>
      </c>
      <c r="C40" s="100"/>
      <c r="D40" s="100"/>
      <c r="E40" s="100"/>
      <c r="F40" s="100"/>
      <c r="G40" s="100"/>
      <c r="H40" s="101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51">
        <f>(G35+G36-G37)*(1+'Fane 14. Nøgletal'!C14)</f>
        <v>107060671.10692908</v>
      </c>
      <c r="H41" s="14" t="s">
        <v>3</v>
      </c>
      <c r="I41" s="1"/>
    </row>
    <row r="42" spans="1:9" x14ac:dyDescent="0.25">
      <c r="A42" s="1"/>
      <c r="B42" s="46" t="s">
        <v>242</v>
      </c>
      <c r="C42" s="63"/>
      <c r="D42" s="63"/>
      <c r="E42" s="63"/>
      <c r="F42" s="64"/>
      <c r="G42" s="51">
        <f>G36*(1+'Fane 14. Nøgletal'!C14)</f>
        <v>5298604.87216953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51">
        <f>(G41+G43)*'Fane 14. Nøgletal'!C24</f>
        <v>1584497.9323825503</v>
      </c>
      <c r="H44" s="14" t="s">
        <v>3</v>
      </c>
      <c r="I44" s="1"/>
    </row>
    <row r="45" spans="1:9" x14ac:dyDescent="0.25">
      <c r="A45" s="1"/>
      <c r="B45" s="37"/>
      <c r="C45" s="31"/>
      <c r="D45" s="31"/>
      <c r="E45" s="31"/>
      <c r="F45" s="31"/>
      <c r="G45" s="3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181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51">
        <f>(G41+G43-G44)*(1+'Fane 14. Nøgletal'!C14)</f>
        <v>105824244.54602253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51">
        <f>(G53+G54)*'Fane 14. Nøgletal'!C24</f>
        <v>1566198.8192811336</v>
      </c>
      <c r="H55" s="14" t="s">
        <v>3</v>
      </c>
      <c r="I55" s="1"/>
    </row>
    <row r="56" spans="1:9" x14ac:dyDescent="0.25">
      <c r="A56" s="1"/>
      <c r="B56" s="37"/>
      <c r="C56" s="31"/>
      <c r="D56" s="31"/>
      <c r="E56" s="31"/>
      <c r="F56" s="31"/>
      <c r="G56" s="31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9" t="s">
        <v>205</v>
      </c>
      <c r="C58" s="100"/>
      <c r="D58" s="100"/>
      <c r="E58" s="100"/>
      <c r="F58" s="100"/>
      <c r="G58" s="100"/>
      <c r="H58" s="101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51">
        <f>(G53+G54-G55)*(1+'Fane 14. Nøgletal'!C14)</f>
        <v>104602097.27763966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51">
        <f>(G59+G60)*'Fane 14. Nøgletal'!C24</f>
        <v>1548111.039709067</v>
      </c>
      <c r="H61" s="14" t="s">
        <v>3</v>
      </c>
      <c r="I61" s="1"/>
    </row>
    <row r="62" spans="1:9" x14ac:dyDescent="0.25">
      <c r="A62" s="1"/>
      <c r="B62" s="37"/>
      <c r="C62" s="31"/>
      <c r="D62" s="31"/>
      <c r="E62" s="31"/>
      <c r="F62" s="31"/>
      <c r="G62" s="31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B73vzimueSDjvzLHt+JlgCiEpTWZq0Q0124QUAnKbZGmm+gF9XWXd4m/SWps9MNyqzY63qV4GS8NIsQWQz6MSQ==" saltValue="6WnfkIalARq/l7oLMy2H8Q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8.3205847145172984E-3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1.3492502613780913E-2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0">
        <v>0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0">
        <v>2.7347963984057362E-3</v>
      </c>
      <c r="H12" s="45"/>
      <c r="I12" s="1"/>
    </row>
    <row r="13" spans="1:9" x14ac:dyDescent="0.25">
      <c r="A13" s="1"/>
      <c r="B13" s="37"/>
      <c r="C13" s="31"/>
      <c r="D13" s="31"/>
      <c r="E13" s="31"/>
      <c r="F13" s="31"/>
      <c r="G13" s="31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QQEOhDqtWo+wFAu5tWqYqPyaty2qJpRNme8mBtmxRwHYLPSMh//hOJyVQSFhFfwNowLoZDM2vZW0hvADDMKL9Q==" saltValue="KROH1/e/YrpEHyU7S+HmW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Ingeborg Knuhtsen</cp:lastModifiedBy>
  <cp:lastPrinted>2016-06-14T12:57:30Z</cp:lastPrinted>
  <dcterms:created xsi:type="dcterms:W3CDTF">2016-06-02T08:51:18Z</dcterms:created>
  <dcterms:modified xsi:type="dcterms:W3CDTF">2023-04-20T13:01:00Z</dcterms:modified>
</cp:coreProperties>
</file>