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Vejen Renseanlæg (S101)\ØR2025\"/>
    </mc:Choice>
  </mc:AlternateContent>
  <xr:revisionPtr revIDLastSave="0" documentId="13_ncr:1_{EE6C1279-4C92-48C0-9333-0253B595F366}"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2025'!$B$8:$D$39</definedName>
    <definedName name="Fane21total">'Fane 2.1. Økonomisk ramme 2025'!$C$39</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2025'!$B$8:$D$39</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2025'!$C$39</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39" i="2" s="1"/>
  <c r="C13" i="15"/>
  <c r="C26" i="36"/>
  <c r="C27" i="36" l="1"/>
  <c r="C13" i="22" s="1"/>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<sst xmlns="http://schemas.openxmlformats.org/spreadsheetml/2006/main" count="557" uniqueCount="238">
  <si>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</si>
  <si>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</si>
  <si>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</si>
  <si>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</si>
  <si>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</si>
  <si>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</si>
  <si>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</si>
  <si>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</si>
  <si>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</si>
  <si>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</si>
  <si>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</si>
  <si>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</si>
  <si>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</si>
  <si>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</si>
  <si>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</si>
  <si>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</si>
  <si>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</si>
  <si>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</si>
  <si>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</si>
  <si>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</si>
  <si>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</si>
  <si>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</si>
  <si>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</si>
  <si>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</si>
  <si>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</si>
  <si>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</si>
  <si>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</si>
  <si>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</si>
  <si>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</si>
  <si>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</si>
  <si>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</si>
  <si>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</si>
  <si>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</si>
  <si>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</si>
  <si>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</si>
  <si>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</si>
  <si>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</si>
  <si>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</si>
  <si>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</si>
  <si>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</si>
  <si>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</si>
  <si>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</si>
  <si>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</si>
  <si>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</si>
  <si>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</si>
  <si>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</si>
  <si>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</si>
  <si>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</si>
  <si>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</si>
  <si>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</si>
  <si>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</si>
  <si>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</si>
  <si>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</si>
  <si>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</si>
  <si>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</si>
  <si>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</si>
  <si>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</si>
  <si>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</si>
  <si>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</si>
  <si>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</si>
  <si>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</si>
  <si>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</si>
  <si>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</si>
  <si>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</si>
  <si>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</si>
  <si>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</si>
  <si>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</si>
  <si>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</si>
  <si>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</si>
  <si>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</si>
  <si>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</si>
  <si>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</si>
  <si>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</si>
  <si>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</si>
  <si>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</si>
  <si>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</si>
  <si>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</si>
  <si>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</si>
  <si>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</si>
  <si>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</si>
  <si>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</si>
  <si>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</si>
  <si>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</si>
  <si>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</si>
  <si>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</si>
  <si>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</si>
  <si>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</si>
  <si>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</si>
  <si>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</si>
  <si>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</si>
  <si>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</si>
  <si>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</si>
  <si>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</si>
  <si>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</si>
  <si>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</si>
  <si>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</si>
  <si>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</si>
  <si>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</si>
  <si>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</si>
  <si>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</si>
  <si>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</si>
  <si>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</si>
  <si>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</si>
  <si>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</si>
  <si>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</si>
  <si>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</si>
  <si>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</si>
  <si>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</si>
  <si>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</si>
  <si>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</si>
  <si>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</si>
  <si>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</si>
  <si>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</si>
  <si>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</si>
  <si>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</si>
  <si>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</si>
  <si>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</si>
  <si>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</si>
  <si>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</si>
  <si>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</si>
  <si>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</si>
  <si>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</si>
  <si>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</si>
  <si>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</si>
  <si>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</si>
  <si>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</si>
  <si>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</si>
  <si>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</si>
  <si>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</si>
  <si>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</si>
  <si>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</si>
  <si>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</si>
  <si>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</si>
  <si>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</si>
  <si>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</si>
  <si>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</si>
  <si>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</si>
  <si>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</si>
  <si>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</si>
  <si>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</si>
  <si>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</si>
  <si>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</si>
  <si>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</si>
  <si>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</si>
  <si>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</si>
  <si>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</si>
  <si>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</si>
  <si>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</si>
  <si>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</si>
  <si>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</si>
  <si>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</si>
  <si>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</si>
  <si>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</si>
  <si>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</si>
  <si>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</si>
  <si>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</si>
  <si>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</si>
  <si>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</si>
  <si>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</si>
  <si>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</si>
  <si>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</si>
  <si>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</si>
  <si>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</si>
  <si>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</si>
  <si>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</si>
  <si>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</si>
  <si>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</si>
  <si>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</si>
  <si>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</si>
  <si>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</si>
  <si>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</si>
  <si>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</si>
  <si>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</si>
  <si>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</si>
  <si>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</si>
  <si>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</si>
  <si>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</si>
  <si>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</si>
  <si>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</si>
  <si>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</si>
  <si>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</si>
  <si>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</si>
  <si>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</si>
  <si>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</si>
  <si>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</si>
  <si>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</si>
  <si>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</si>
  <si>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</si>
  <si>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</si>
  <si>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</si>
  <si>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</si>
  <si>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</si>
  <si>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</si>
  <si>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</si>
  <si>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</si>
  <si>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</si>
  <si>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</si>
  <si>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</si>
  <si>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</si>
  <si>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</si>
  <si>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</si>
  <si>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</si>
  <si>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</si>
  <si>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</si>
  <si>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</si>
  <si>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</si>
  <si>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</si>
  <si>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</si>
  <si>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</si>
  <si>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</si>
  <si>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</si>
  <si>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</si>
  <si>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</si>
  <si>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</si>
  <si>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</si>
  <si>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</si>
  <si>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</si>
  <si>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</si>
  <si>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</si>
  <si>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</si>
  <si>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</si>
  <si>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</si>
  <si>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</si>
  <si>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</si>
  <si>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</si>
  <si>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</si>
  <si>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</si>
  <si>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</si>
  <si>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</si>
  <si>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Spildevandsafgift</t>
  </si>
  <si>
    <t>Afgift til Forsyningssekretariatet</t>
  </si>
  <si>
    <t>Køb af ydelser og produkter fra andre vandselskaber reguleret af vandsektorloven</t>
  </si>
  <si>
    <t>Ejendomsskatter</t>
  </si>
  <si>
    <t>Øvrige afgifter</t>
  </si>
  <si>
    <t>Gebyr til Miljøstyrelsen</t>
  </si>
  <si>
    <t>1 Brørup renseanlæg</t>
  </si>
  <si>
    <t>Faunabedømmelse</t>
  </si>
  <si>
    <t>Nye tilslutninger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</si>
</sst>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5" t="s">
        <v>4</v>
      </c>
      <c r="D6" s="95"/>
      <c r="E6" s="95"/>
      <c r="F6" s="95"/>
      <c r="G6" s="3"/>
    </row>
    <row r="7" spans="1:7" ht="15" customHeight="1" x14ac:dyDescent="0.25">
      <c r="A7" s="1"/>
      <c r="B7" s="3"/>
      <c r="C7" s="95"/>
      <c r="D7" s="95"/>
      <c r="E7" s="95"/>
      <c r="F7" s="95"/>
      <c r="G7" s="3"/>
    </row>
    <row r="8" spans="1:7" ht="15.75" x14ac:dyDescent="0.25">
      <c r="A8" s="1"/>
      <c r="B8" s="4"/>
      <c r="C8" s="100" t="s">
        <v>228</v>
      </c>
      <c r="D8" s="100"/>
      <c r="E8" s="100"/>
      <c r="F8" s="100"/>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9" t="s">
        <v>5</v>
      </c>
      <c r="D11" s="99"/>
      <c r="E11" s="99"/>
      <c r="F11" s="99"/>
      <c r="G11" s="5"/>
    </row>
    <row r="12" spans="1:7" x14ac:dyDescent="0.25">
      <c r="A12" s="1"/>
      <c r="B12" s="1"/>
      <c r="C12" s="1"/>
      <c r="D12" s="1"/>
      <c r="E12" s="1"/>
      <c r="F12" s="1"/>
      <c r="G12" s="5"/>
    </row>
    <row r="13" spans="1:7" x14ac:dyDescent="0.25">
      <c r="A13" s="1"/>
      <c r="B13" s="6" t="s">
        <v>6</v>
      </c>
      <c r="C13" s="101" t="s">
        <v>127</v>
      </c>
      <c r="D13" s="102"/>
      <c r="E13" s="102"/>
      <c r="F13" s="103"/>
      <c r="G13" s="5"/>
    </row>
    <row r="14" spans="1:7" x14ac:dyDescent="0.25">
      <c r="A14" s="1"/>
      <c r="B14" s="6" t="s">
        <v>16</v>
      </c>
      <c r="C14" s="92" t="s">
        <v>186</v>
      </c>
      <c r="D14" s="93"/>
      <c r="E14" s="93"/>
      <c r="F14" s="94"/>
      <c r="G14" s="5"/>
    </row>
    <row r="15" spans="1:7" x14ac:dyDescent="0.25">
      <c r="A15" s="1"/>
      <c r="B15" s="6" t="s">
        <v>30</v>
      </c>
      <c r="C15" s="92" t="s">
        <v>149</v>
      </c>
      <c r="D15" s="93"/>
      <c r="E15" s="93"/>
      <c r="F15" s="94"/>
      <c r="G15" s="5"/>
    </row>
    <row r="16" spans="1:7" x14ac:dyDescent="0.25">
      <c r="A16" s="1"/>
      <c r="B16" s="6" t="s">
        <v>31</v>
      </c>
      <c r="C16" s="92" t="s">
        <v>151</v>
      </c>
      <c r="D16" s="93"/>
      <c r="E16" s="93"/>
      <c r="F16" s="94"/>
      <c r="G16" s="5"/>
    </row>
    <row r="17" spans="1:8" x14ac:dyDescent="0.25">
      <c r="A17" s="1"/>
      <c r="B17" s="6" t="s">
        <v>61</v>
      </c>
      <c r="C17" s="92" t="s">
        <v>152</v>
      </c>
      <c r="D17" s="93"/>
      <c r="E17" s="93"/>
      <c r="F17" s="94"/>
      <c r="G17" s="5"/>
    </row>
    <row r="18" spans="1:8" x14ac:dyDescent="0.25">
      <c r="A18" s="1"/>
      <c r="B18" s="6" t="s">
        <v>53</v>
      </c>
      <c r="C18" s="89" t="s">
        <v>45</v>
      </c>
      <c r="D18" s="90"/>
      <c r="E18" s="90"/>
      <c r="F18" s="91"/>
      <c r="G18" s="5"/>
    </row>
    <row r="19" spans="1:8" x14ac:dyDescent="0.25">
      <c r="A19" s="1"/>
      <c r="B19" s="6" t="s">
        <v>54</v>
      </c>
      <c r="C19" s="89" t="s">
        <v>46</v>
      </c>
      <c r="D19" s="90"/>
      <c r="E19" s="90"/>
      <c r="F19" s="91"/>
      <c r="G19" s="5"/>
    </row>
    <row r="20" spans="1:8" x14ac:dyDescent="0.25">
      <c r="A20" s="1"/>
      <c r="B20" s="6" t="s">
        <v>7</v>
      </c>
      <c r="C20" s="89" t="s">
        <v>10</v>
      </c>
      <c r="D20" s="90"/>
      <c r="E20" s="90"/>
      <c r="F20" s="91"/>
      <c r="G20" s="5"/>
    </row>
    <row r="21" spans="1:8" x14ac:dyDescent="0.25">
      <c r="A21" s="1"/>
      <c r="B21" s="6" t="s">
        <v>55</v>
      </c>
      <c r="C21" s="96" t="s">
        <v>12</v>
      </c>
      <c r="D21" s="97"/>
      <c r="E21" s="97"/>
      <c r="F21" s="98"/>
      <c r="G21" s="5"/>
    </row>
    <row r="22" spans="1:8" x14ac:dyDescent="0.25">
      <c r="A22" s="1"/>
      <c r="B22" s="6" t="s">
        <v>39</v>
      </c>
      <c r="C22" s="83" t="s">
        <v>153</v>
      </c>
      <c r="D22" s="84"/>
      <c r="E22" s="84"/>
      <c r="F22" s="85"/>
      <c r="G22" s="5"/>
    </row>
    <row r="23" spans="1:8" x14ac:dyDescent="0.25">
      <c r="A23" s="1"/>
      <c r="B23" s="6" t="s">
        <v>8</v>
      </c>
      <c r="C23" s="83" t="s">
        <v>112</v>
      </c>
      <c r="D23" s="84"/>
      <c r="E23" s="84"/>
      <c r="F23" s="85"/>
      <c r="G23" s="5"/>
    </row>
    <row r="24" spans="1:8" x14ac:dyDescent="0.25">
      <c r="A24" s="1"/>
      <c r="B24" s="6" t="s">
        <v>9</v>
      </c>
      <c r="C24" s="83" t="s">
        <v>154</v>
      </c>
      <c r="D24" s="84"/>
      <c r="E24" s="84"/>
      <c r="F24" s="85"/>
      <c r="G24" s="5"/>
    </row>
    <row r="25" spans="1:8" x14ac:dyDescent="0.25">
      <c r="A25" s="1"/>
      <c r="B25" s="6" t="s">
        <v>97</v>
      </c>
      <c r="C25" s="83" t="s">
        <v>91</v>
      </c>
      <c r="D25" s="84"/>
      <c r="E25" s="84"/>
      <c r="F25" s="85"/>
      <c r="G25" s="1"/>
    </row>
    <row r="26" spans="1:8" x14ac:dyDescent="0.25">
      <c r="A26" s="1"/>
      <c r="B26" s="6" t="s">
        <v>98</v>
      </c>
      <c r="C26" s="83" t="s">
        <v>40</v>
      </c>
      <c r="D26" s="84"/>
      <c r="E26" s="84"/>
      <c r="F26" s="85"/>
      <c r="G26" s="1"/>
    </row>
    <row r="27" spans="1:8" x14ac:dyDescent="0.25">
      <c r="A27" s="1"/>
      <c r="B27" s="6" t="s">
        <v>99</v>
      </c>
      <c r="C27" s="83" t="s">
        <v>41</v>
      </c>
      <c r="D27" s="84"/>
      <c r="E27" s="84"/>
      <c r="F27" s="85"/>
      <c r="G27" s="1"/>
    </row>
    <row r="28" spans="1:8" x14ac:dyDescent="0.25">
      <c r="A28" s="1"/>
      <c r="B28" s="6" t="s">
        <v>15</v>
      </c>
      <c r="C28" s="83" t="s">
        <v>42</v>
      </c>
      <c r="D28" s="84"/>
      <c r="E28" s="84"/>
      <c r="F28" s="85"/>
      <c r="G28" s="1"/>
      <c r="H28" s="2" t="s">
        <v>150</v>
      </c>
    </row>
    <row r="29" spans="1:8" x14ac:dyDescent="0.25">
      <c r="A29" s="1"/>
      <c r="B29" s="6" t="s">
        <v>33</v>
      </c>
      <c r="C29" s="83" t="s">
        <v>68</v>
      </c>
      <c r="D29" s="84"/>
      <c r="E29" s="84"/>
      <c r="F29" s="85"/>
      <c r="G29" s="1"/>
    </row>
    <row r="30" spans="1:8" x14ac:dyDescent="0.25">
      <c r="A30" s="1"/>
      <c r="B30" s="6" t="s">
        <v>34</v>
      </c>
      <c r="C30" s="83" t="s">
        <v>32</v>
      </c>
      <c r="D30" s="84"/>
      <c r="E30" s="84"/>
      <c r="F30" s="85"/>
      <c r="G30" s="1"/>
    </row>
    <row r="31" spans="1:8" x14ac:dyDescent="0.25">
      <c r="A31" s="1"/>
      <c r="B31" s="6" t="s">
        <v>100</v>
      </c>
      <c r="C31" s="86" t="s">
        <v>52</v>
      </c>
      <c r="D31" s="87"/>
      <c r="E31" s="87"/>
      <c r="F31" s="88"/>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if12DMk+EBi3EHi/nyCRCaZhM6vc5x8sB3uA7QIT9NymKxuRDuabIsQEmaCUYvwB2szjULg+rgDRZ0OEy+rdqw==" saltValue="5Lw9q80Ouwgp52cdbKbVrQ=="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58</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8" t="s">
        <v>165</v>
      </c>
      <c r="C8" s="109"/>
      <c r="D8" s="110"/>
      <c r="E8" s="1"/>
    </row>
    <row r="9" spans="1:5" ht="15" customHeight="1" x14ac:dyDescent="0.25">
      <c r="A9" s="1"/>
      <c r="B9" s="27" t="s">
        <v>28</v>
      </c>
      <c r="C9" s="67" t="s">
        <v>166</v>
      </c>
      <c r="D9" s="11"/>
      <c r="E9" s="1"/>
    </row>
    <row r="10" spans="1:5" ht="15" customHeight="1" x14ac:dyDescent="0.25">
      <c r="A10" s="1"/>
      <c r="B10" s="72" t="s">
        <v>229</v>
      </c>
      <c r="C10" s="73">
        <v>2032618</v>
      </c>
      <c r="D10" s="14" t="s">
        <v>3</v>
      </c>
      <c r="E10" s="1"/>
    </row>
    <row r="11" spans="1:5" ht="15" customHeight="1" x14ac:dyDescent="0.25">
      <c r="A11" s="1"/>
      <c r="B11" s="72" t="s">
        <v>230</v>
      </c>
      <c r="C11" s="73">
        <v>83260</v>
      </c>
      <c r="D11" s="14" t="s">
        <v>3</v>
      </c>
      <c r="E11" s="1"/>
    </row>
    <row r="12" spans="1:5" ht="25.5" x14ac:dyDescent="0.25">
      <c r="A12" s="1"/>
      <c r="B12" s="72" t="s">
        <v>231</v>
      </c>
      <c r="C12" s="73">
        <v>203949</v>
      </c>
      <c r="D12" s="14" t="s">
        <v>3</v>
      </c>
      <c r="E12" s="1"/>
    </row>
    <row r="13" spans="1:5" x14ac:dyDescent="0.25">
      <c r="A13" s="1"/>
      <c r="B13" s="72" t="s">
        <v>232</v>
      </c>
      <c r="C13" s="73">
        <v>99973</v>
      </c>
      <c r="D13" s="14" t="s">
        <v>3</v>
      </c>
      <c r="E13" s="1"/>
    </row>
    <row r="14" spans="1:5" x14ac:dyDescent="0.25">
      <c r="A14" s="1"/>
      <c r="B14" s="72" t="s">
        <v>234</v>
      </c>
      <c r="C14" s="73">
        <v>17194</v>
      </c>
      <c r="D14" s="14" t="s">
        <v>3</v>
      </c>
      <c r="E14" s="1"/>
    </row>
    <row r="15" spans="1:5" x14ac:dyDescent="0.25">
      <c r="A15" s="1"/>
      <c r="B15" s="72" t="s">
        <v>233</v>
      </c>
      <c r="C15" s="73">
        <v>7438</v>
      </c>
      <c r="D15" s="14" t="s">
        <v>3</v>
      </c>
      <c r="E15" s="1"/>
    </row>
    <row r="16" spans="1:5" x14ac:dyDescent="0.25">
      <c r="A16" s="1"/>
      <c r="B16" s="72"/>
      <c r="C16" s="73"/>
      <c r="D16" s="14" t="s">
        <v>3</v>
      </c>
      <c r="E16" s="1"/>
    </row>
    <row r="17" spans="1:5" x14ac:dyDescent="0.25">
      <c r="A17" s="1"/>
      <c r="B17" s="72"/>
      <c r="C17" s="73"/>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167</v>
      </c>
      <c r="C20" s="12">
        <f>SUM(C10:C19)</f>
        <v>2444432</v>
      </c>
      <c r="D20" s="13" t="s">
        <v>3</v>
      </c>
      <c r="E20" s="1"/>
    </row>
    <row r="21" spans="1:5" x14ac:dyDescent="0.25">
      <c r="A21" s="1"/>
      <c r="B21" s="33" t="s">
        <v>168</v>
      </c>
      <c r="C21" s="12">
        <f>C20*(1+'Fane 15. Nøgletal'!C10)^2</f>
        <v>2779308.6484980802</v>
      </c>
      <c r="D21" s="13" t="s">
        <v>3</v>
      </c>
      <c r="E21" s="1"/>
    </row>
    <row r="22" spans="1:5" x14ac:dyDescent="0.25">
      <c r="A22" s="1"/>
      <c r="B22" s="16"/>
      <c r="C22" s="15"/>
      <c r="D22" s="15"/>
      <c r="E22" s="1"/>
    </row>
    <row r="23" spans="1:5" x14ac:dyDescent="0.25">
      <c r="A23" s="1"/>
      <c r="B23" s="16"/>
      <c r="C23" s="15"/>
      <c r="D23" s="15"/>
      <c r="E23" s="1"/>
    </row>
    <row r="24" spans="1:5" x14ac:dyDescent="0.25">
      <c r="A24" s="1"/>
      <c r="B24" s="108" t="s">
        <v>60</v>
      </c>
      <c r="C24" s="109"/>
      <c r="D24" s="110"/>
      <c r="E24" s="1"/>
    </row>
    <row r="25" spans="1:5" x14ac:dyDescent="0.25">
      <c r="A25" s="1"/>
      <c r="B25" s="37" t="s">
        <v>72</v>
      </c>
      <c r="C25" s="9"/>
      <c r="D25" s="14" t="s">
        <v>3</v>
      </c>
      <c r="E25" s="1"/>
    </row>
    <row r="26" spans="1:5" x14ac:dyDescent="0.25">
      <c r="A26" s="1"/>
      <c r="B26" s="37" t="s">
        <v>83</v>
      </c>
      <c r="C26" s="9"/>
      <c r="D26" s="14" t="s">
        <v>3</v>
      </c>
      <c r="E26" s="1"/>
    </row>
    <row r="27" spans="1:5" x14ac:dyDescent="0.25">
      <c r="A27" s="1"/>
      <c r="B27" s="37" t="s">
        <v>148</v>
      </c>
      <c r="C27" s="9"/>
      <c r="D27" s="14" t="s">
        <v>3</v>
      </c>
      <c r="E27" s="1"/>
    </row>
    <row r="28" spans="1:5" x14ac:dyDescent="0.25">
      <c r="A28" s="1"/>
      <c r="B28" s="34" t="s">
        <v>169</v>
      </c>
      <c r="C28" s="9"/>
      <c r="D28" s="36" t="s">
        <v>3</v>
      </c>
      <c r="E28" s="1"/>
    </row>
    <row r="29" spans="1:5" x14ac:dyDescent="0.25">
      <c r="A29" s="1"/>
      <c r="B29" s="108"/>
      <c r="C29" s="109"/>
      <c r="D29" s="110"/>
      <c r="E29" s="1"/>
    </row>
    <row r="30" spans="1:5" x14ac:dyDescent="0.25">
      <c r="A30" s="1"/>
      <c r="B30" s="1"/>
      <c r="C30" s="1"/>
      <c r="D30" s="1"/>
      <c r="E30" s="1"/>
    </row>
    <row r="31" spans="1:5" x14ac:dyDescent="0.25">
      <c r="A31" s="1"/>
      <c r="B31" s="1"/>
      <c r="C31" s="1"/>
      <c r="D31" s="1"/>
      <c r="E31" s="1"/>
    </row>
    <row r="32" spans="1:5" x14ac:dyDescent="0.25">
      <c r="A32" s="1"/>
      <c r="B32" s="108" t="s">
        <v>47</v>
      </c>
      <c r="C32" s="109"/>
      <c r="D32" s="110"/>
      <c r="E32" s="1"/>
    </row>
    <row r="33" spans="1:5" x14ac:dyDescent="0.25">
      <c r="A33" s="1"/>
      <c r="B33" s="37" t="s">
        <v>72</v>
      </c>
      <c r="C33" s="9"/>
      <c r="D33" s="14" t="s">
        <v>3</v>
      </c>
      <c r="E33" s="1"/>
    </row>
    <row r="34" spans="1:5" x14ac:dyDescent="0.25">
      <c r="A34" s="1"/>
      <c r="B34" s="37" t="s">
        <v>83</v>
      </c>
      <c r="C34" s="9"/>
      <c r="D34" s="14" t="s">
        <v>3</v>
      </c>
      <c r="E34" s="1"/>
    </row>
    <row r="35" spans="1:5" x14ac:dyDescent="0.25">
      <c r="A35" s="1"/>
      <c r="B35" s="37" t="s">
        <v>148</v>
      </c>
      <c r="C35" s="9"/>
      <c r="D35" s="14" t="s">
        <v>3</v>
      </c>
      <c r="E35" s="1"/>
    </row>
    <row r="36" spans="1:5" x14ac:dyDescent="0.25">
      <c r="A36" s="1"/>
      <c r="B36" s="34" t="s">
        <v>169</v>
      </c>
      <c r="C36" s="9"/>
      <c r="D36" s="36" t="s">
        <v>3</v>
      </c>
      <c r="E36" s="1"/>
    </row>
    <row r="37" spans="1:5" x14ac:dyDescent="0.25">
      <c r="A37" s="1"/>
      <c r="B37" s="108"/>
      <c r="C37" s="109"/>
      <c r="D37" s="110"/>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JZAG/910bYygR2Y4Lx1i5pHOsq7cBE/SV5n2o6vMzQ0MvyAFY067Xv+GOhMejUaS3mYFlyR2LBNgYUOmtbAufA==" saltValue="Dm16aItUKwUHtY/vk1FOZ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201</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8" t="s">
        <v>77</v>
      </c>
      <c r="C8" s="109"/>
      <c r="D8" s="110"/>
      <c r="E8" s="1"/>
    </row>
    <row r="9" spans="1:5" x14ac:dyDescent="0.25">
      <c r="A9" s="1"/>
      <c r="B9" s="65" t="s">
        <v>204</v>
      </c>
      <c r="C9" s="9">
        <v>-529092.01317228749</v>
      </c>
      <c r="D9" s="14" t="s">
        <v>3</v>
      </c>
      <c r="E9" s="1"/>
    </row>
    <row r="10" spans="1:5" x14ac:dyDescent="0.25">
      <c r="A10" s="1"/>
      <c r="B10" s="33"/>
      <c r="C10" s="28"/>
      <c r="D10" s="19"/>
      <c r="E10" s="1"/>
    </row>
    <row r="11" spans="1:5" ht="53.25" customHeight="1" x14ac:dyDescent="0.25">
      <c r="A11" s="1"/>
      <c r="B11" s="119" t="s">
        <v>212</v>
      </c>
      <c r="C11" s="120"/>
      <c r="D11" s="121"/>
      <c r="E11" s="1"/>
    </row>
    <row r="12" spans="1:5" x14ac:dyDescent="0.25">
      <c r="A12" s="1"/>
      <c r="B12" s="1"/>
      <c r="C12" s="1"/>
      <c r="D12" s="1"/>
      <c r="E12" s="1"/>
    </row>
    <row r="13" spans="1:5" x14ac:dyDescent="0.25">
      <c r="A13" s="1"/>
      <c r="B13" s="108" t="s">
        <v>78</v>
      </c>
      <c r="C13" s="109"/>
      <c r="D13" s="110"/>
      <c r="E13" s="1"/>
    </row>
    <row r="14" spans="1:5" x14ac:dyDescent="0.25">
      <c r="A14" s="1"/>
      <c r="B14" s="65" t="s">
        <v>202</v>
      </c>
      <c r="C14" s="9">
        <v>-480311.80629605986</v>
      </c>
      <c r="D14" s="14" t="s">
        <v>3</v>
      </c>
      <c r="E14" s="1"/>
    </row>
    <row r="15" spans="1:5" x14ac:dyDescent="0.25">
      <c r="A15" s="1"/>
      <c r="B15" s="65" t="s">
        <v>203</v>
      </c>
      <c r="C15" s="9">
        <v>-480311.80629605986</v>
      </c>
      <c r="D15" s="14" t="s">
        <v>3</v>
      </c>
      <c r="E15" s="1"/>
    </row>
    <row r="16" spans="1:5" x14ac:dyDescent="0.25">
      <c r="A16" s="1"/>
      <c r="B16" s="33"/>
      <c r="C16" s="28"/>
      <c r="D16" s="19"/>
      <c r="E16" s="1"/>
    </row>
    <row r="17" spans="1:5" ht="29.25" customHeight="1" x14ac:dyDescent="0.25">
      <c r="A17" s="1"/>
      <c r="B17" s="119" t="s">
        <v>121</v>
      </c>
      <c r="C17" s="120"/>
      <c r="D17" s="121"/>
      <c r="E17" s="1"/>
    </row>
    <row r="18" spans="1:5" x14ac:dyDescent="0.25">
      <c r="A18" s="1"/>
      <c r="B18" s="1"/>
      <c r="C18" s="1"/>
      <c r="D18" s="1"/>
      <c r="E18" s="1"/>
    </row>
    <row r="19" spans="1:5" x14ac:dyDescent="0.25">
      <c r="A19" s="1"/>
      <c r="B19" s="76" t="s">
        <v>205</v>
      </c>
      <c r="C19" s="77"/>
      <c r="D19" s="78"/>
      <c r="E19" s="1"/>
    </row>
    <row r="20" spans="1:5" x14ac:dyDescent="0.25">
      <c r="A20" s="1"/>
      <c r="B20" s="65" t="s">
        <v>206</v>
      </c>
      <c r="C20" s="9">
        <v>23249728.880101521</v>
      </c>
      <c r="D20" s="14" t="s">
        <v>3</v>
      </c>
      <c r="E20" s="1"/>
    </row>
    <row r="21" spans="1:5" x14ac:dyDescent="0.25">
      <c r="A21" s="1"/>
      <c r="B21" s="65" t="s">
        <v>207</v>
      </c>
      <c r="C21" s="9">
        <v>22834421</v>
      </c>
      <c r="D21" s="14" t="s">
        <v>3</v>
      </c>
      <c r="E21" s="1"/>
    </row>
    <row r="22" spans="1:5" x14ac:dyDescent="0.25">
      <c r="A22" s="1"/>
      <c r="B22" s="65" t="s">
        <v>29</v>
      </c>
      <c r="C22" s="9">
        <v>0</v>
      </c>
      <c r="D22" s="14" t="s">
        <v>3</v>
      </c>
      <c r="E22" s="1"/>
    </row>
    <row r="23" spans="1:5" x14ac:dyDescent="0.25">
      <c r="A23" s="1"/>
      <c r="B23" s="82" t="s">
        <v>208</v>
      </c>
      <c r="C23" s="57">
        <f>C20-C21-C22</f>
        <v>415307.88010152057</v>
      </c>
      <c r="D23" s="17" t="s">
        <v>3</v>
      </c>
      <c r="E23" s="1"/>
    </row>
    <row r="24" spans="1:5" x14ac:dyDescent="0.25">
      <c r="A24" s="1"/>
      <c r="B24" s="33"/>
      <c r="C24" s="28"/>
      <c r="D24" s="19"/>
      <c r="E24" s="1"/>
    </row>
    <row r="25" spans="1:5" x14ac:dyDescent="0.25">
      <c r="A25" s="1"/>
      <c r="B25" s="1"/>
      <c r="C25" s="1"/>
      <c r="D25" s="1"/>
      <c r="E25" s="1"/>
    </row>
    <row r="26" spans="1:5" x14ac:dyDescent="0.25">
      <c r="A26" s="1"/>
      <c r="B26" s="108" t="s">
        <v>209</v>
      </c>
      <c r="C26" s="109"/>
      <c r="D26" s="110"/>
      <c r="E26" s="1"/>
    </row>
    <row r="27" spans="1:5" x14ac:dyDescent="0.25">
      <c r="A27" s="1"/>
      <c r="B27" s="82" t="s">
        <v>210</v>
      </c>
      <c r="C27" s="57">
        <f>IF(AND(C15&lt;0,C23&gt;0,ABS(SUM(C14:C15))&lt;C23),ABS(C14),IF(AND(C15&lt;0,C23&gt;0,ABS(SUM(C14:C15))&gt;C23),SUM(C14,C23),C15))</f>
        <v>-65003.926194539294</v>
      </c>
      <c r="D27" s="17" t="s">
        <v>3</v>
      </c>
      <c r="E27" s="1"/>
    </row>
    <row r="28" spans="1:5" x14ac:dyDescent="0.25">
      <c r="A28" s="1"/>
      <c r="B28" s="108"/>
      <c r="C28" s="109"/>
      <c r="D28" s="110"/>
      <c r="E28" s="1"/>
    </row>
    <row r="29" spans="1:5" x14ac:dyDescent="0.25">
      <c r="A29" s="1"/>
      <c r="B29" s="1"/>
      <c r="C29" s="1"/>
      <c r="D29" s="1"/>
      <c r="E29" s="1"/>
    </row>
    <row r="30" spans="1:5" x14ac:dyDescent="0.25">
      <c r="A30" s="1"/>
      <c r="B30" s="108" t="s">
        <v>211</v>
      </c>
      <c r="C30" s="109"/>
      <c r="D30" s="110"/>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6"/>
      <c r="C34" s="117"/>
      <c r="D34" s="118"/>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cS8l0JtN5dfYysV2R8BjaT32eiqWqvZO/PDDEz+d0Uk5n1LgD4FFlyKf20JkbKaJX/Z5y73/BDPN1eUFULe/iw==" saltValue="wRt6KhSBu4liOaorwbdFsQ=="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7" t="s">
        <v>101</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x14ac:dyDescent="0.25">
      <c r="A8" s="1"/>
      <c r="B8" s="108" t="s">
        <v>120</v>
      </c>
      <c r="C8" s="109"/>
      <c r="D8" s="110"/>
      <c r="E8" s="1"/>
    </row>
    <row r="9" spans="1:5" ht="15" customHeight="1" x14ac:dyDescent="0.25">
      <c r="A9" s="1"/>
      <c r="B9" s="122" t="s">
        <v>102</v>
      </c>
      <c r="C9" s="123"/>
      <c r="D9" s="124"/>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6"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6PG5sicIl4cF5N0zSM/ZhBk0jbAWpPPaeEP+1Q4ayXooW8QMqRt+fi0opJa3X+cSaUXlu2biQySzsTAZnTllQ==" saltValue="HWnFL0jI5bk2Lb0WXkVWjg=="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170</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8" t="s">
        <v>171</v>
      </c>
      <c r="C8" s="109"/>
      <c r="D8" s="110"/>
      <c r="E8" s="1"/>
    </row>
    <row r="9" spans="1:5" ht="26.25" x14ac:dyDescent="0.25">
      <c r="A9" s="1"/>
      <c r="B9" s="79" t="s">
        <v>217</v>
      </c>
      <c r="C9" s="7"/>
      <c r="D9" s="8" t="s">
        <v>3</v>
      </c>
      <c r="E9" s="1"/>
    </row>
    <row r="10" spans="1:5" ht="14.25" customHeight="1" x14ac:dyDescent="0.25">
      <c r="A10" s="1"/>
      <c r="B10" s="65" t="s">
        <v>172</v>
      </c>
      <c r="C10" s="7"/>
      <c r="D10" s="8" t="s">
        <v>3</v>
      </c>
      <c r="E10" s="1"/>
    </row>
    <row r="11" spans="1:5" ht="14.25" customHeight="1" x14ac:dyDescent="0.25">
      <c r="A11" s="1"/>
      <c r="B11" s="82" t="s">
        <v>48</v>
      </c>
      <c r="C11" s="10">
        <f>C10-C9</f>
        <v>0</v>
      </c>
      <c r="D11" s="11" t="s">
        <v>3</v>
      </c>
      <c r="E11" s="1"/>
    </row>
    <row r="12" spans="1:5" ht="14.25" customHeight="1" x14ac:dyDescent="0.25">
      <c r="A12" s="1"/>
      <c r="B12" s="108" t="s">
        <v>219</v>
      </c>
      <c r="C12" s="109"/>
      <c r="D12" s="110"/>
      <c r="E12" s="1"/>
    </row>
    <row r="13" spans="1:5" ht="26.25" x14ac:dyDescent="0.25">
      <c r="A13" s="1"/>
      <c r="B13" s="79" t="s">
        <v>218</v>
      </c>
      <c r="C13" s="7"/>
      <c r="D13" s="8" t="s">
        <v>3</v>
      </c>
      <c r="E13" s="1"/>
    </row>
    <row r="14" spans="1:5" ht="14.25" customHeight="1" x14ac:dyDescent="0.25">
      <c r="A14" s="1"/>
      <c r="B14" s="65" t="s">
        <v>173</v>
      </c>
      <c r="C14" s="7"/>
      <c r="D14" s="8" t="s">
        <v>3</v>
      </c>
      <c r="E14" s="1"/>
    </row>
    <row r="15" spans="1:5" ht="14.25" customHeight="1" x14ac:dyDescent="0.25">
      <c r="A15" s="1"/>
      <c r="B15" s="82"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s99cMkn6+BrsbXeoz8LyI7I57N5vrtT6YWbeE2jiBH+GeOFlRA/+3MV9EscwN6RVCUDU65RIp4t8A2JMEaE9w==" saltValue="q7Q9KJm4jv8JdcI6sjyBXw=="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4" t="s">
        <v>113</v>
      </c>
      <c r="C3" s="104"/>
      <c r="D3" s="104"/>
      <c r="E3" s="104"/>
      <c r="F3" s="104"/>
      <c r="G3" s="104"/>
      <c r="H3" s="104"/>
      <c r="I3" s="104"/>
      <c r="J3" s="104"/>
      <c r="K3" s="104"/>
      <c r="L3" s="1"/>
    </row>
    <row r="4" spans="1:12" ht="15" customHeight="1" x14ac:dyDescent="0.25">
      <c r="A4" s="1"/>
      <c r="B4" s="104"/>
      <c r="C4" s="104"/>
      <c r="D4" s="104"/>
      <c r="E4" s="104"/>
      <c r="F4" s="104"/>
      <c r="G4" s="104"/>
      <c r="H4" s="104"/>
      <c r="I4" s="104"/>
      <c r="J4" s="104"/>
      <c r="K4" s="10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8" t="s">
        <v>86</v>
      </c>
      <c r="C8" s="109"/>
      <c r="D8" s="109"/>
      <c r="E8" s="109"/>
      <c r="F8" s="109"/>
      <c r="G8" s="109"/>
      <c r="H8" s="109"/>
      <c r="I8" s="109"/>
      <c r="J8" s="109"/>
      <c r="K8" s="110"/>
      <c r="L8" s="1"/>
    </row>
    <row r="9" spans="1:12" ht="39.75" customHeight="1" x14ac:dyDescent="0.25">
      <c r="A9" s="1"/>
      <c r="B9" s="18" t="s">
        <v>0</v>
      </c>
      <c r="C9" s="18" t="s">
        <v>1</v>
      </c>
      <c r="D9" s="125" t="s">
        <v>96</v>
      </c>
      <c r="E9" s="126"/>
      <c r="F9" s="125" t="s">
        <v>2</v>
      </c>
      <c r="G9" s="126"/>
      <c r="H9" s="125" t="s">
        <v>95</v>
      </c>
      <c r="I9" s="126"/>
      <c r="J9" s="125" t="s">
        <v>26</v>
      </c>
      <c r="K9" s="126"/>
      <c r="L9" s="1"/>
    </row>
    <row r="10" spans="1:12" x14ac:dyDescent="0.25">
      <c r="A10" s="1"/>
      <c r="B10" s="68" t="s">
        <v>224</v>
      </c>
      <c r="C10" s="42">
        <v>0</v>
      </c>
      <c r="D10" s="9">
        <v>0</v>
      </c>
      <c r="E10" s="14" t="s">
        <v>3</v>
      </c>
      <c r="F10" s="9">
        <f>IFERROR(D10/C10,0)</f>
        <v>0</v>
      </c>
      <c r="G10" s="14" t="s">
        <v>3</v>
      </c>
      <c r="H10" s="38">
        <v>0</v>
      </c>
      <c r="I10" s="14" t="s">
        <v>3</v>
      </c>
      <c r="J10" s="38">
        <v>0</v>
      </c>
      <c r="K10" s="14" t="s">
        <v>3</v>
      </c>
      <c r="L10" s="1"/>
    </row>
    <row r="11" spans="1:12" x14ac:dyDescent="0.25">
      <c r="A11" s="1"/>
      <c r="B11" s="76" t="s">
        <v>221</v>
      </c>
      <c r="C11" s="77"/>
      <c r="D11" s="78"/>
      <c r="E11" s="78"/>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4w6go6jsq6i+U/QAsdvq8LSvTJioTFcpubYk/6Q8GGmo5vPBIdKtacOrU49lY9hVUpkvJKGIRBcQK5FYzGz3fg==" saltValue="yY9JhY2ma2JV/bEMxkVq0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114</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235</v>
      </c>
      <c r="C11" s="21">
        <v>0</v>
      </c>
      <c r="D11" s="14" t="s">
        <v>3</v>
      </c>
      <c r="E11" s="9">
        <v>999168</v>
      </c>
      <c r="F11" s="14" t="s">
        <v>3</v>
      </c>
      <c r="G11" s="1"/>
    </row>
    <row r="12" spans="1:7" x14ac:dyDescent="0.25">
      <c r="A12" s="1"/>
      <c r="B12" s="24" t="s">
        <v>236</v>
      </c>
      <c r="C12" s="21">
        <v>33600</v>
      </c>
      <c r="D12" s="14" t="s">
        <v>3</v>
      </c>
      <c r="E12" s="9">
        <v>0</v>
      </c>
      <c r="F12" s="14" t="s">
        <v>3</v>
      </c>
      <c r="G12" s="1"/>
    </row>
    <row r="13" spans="1:7" x14ac:dyDescent="0.25">
      <c r="A13" s="1"/>
      <c r="B13" s="24" t="s">
        <v>237</v>
      </c>
      <c r="C13" s="21">
        <v>44850</v>
      </c>
      <c r="D13" s="14" t="s">
        <v>3</v>
      </c>
      <c r="E13" s="9">
        <v>0</v>
      </c>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78450</v>
      </c>
      <c r="D19" s="13" t="s">
        <v>3</v>
      </c>
      <c r="E19" s="12">
        <f>SUM(E10:E18)</f>
        <v>999168</v>
      </c>
      <c r="F19" s="13" t="s">
        <v>3</v>
      </c>
      <c r="G19" s="1"/>
    </row>
    <row r="20" spans="1:7" x14ac:dyDescent="0.25">
      <c r="A20" s="1"/>
      <c r="B20" s="33" t="s">
        <v>175</v>
      </c>
      <c r="C20" s="12">
        <f>C19*(1+'Fane 15. Nøgletal'!C10)</f>
        <v>83651.235000000001</v>
      </c>
      <c r="D20" s="13" t="s">
        <v>3</v>
      </c>
      <c r="E20" s="12">
        <f>E19*(1+'Fane 15. Nøgletal'!C10)</f>
        <v>1065412.8384</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Vi1/hlwpgvsjyHqOO4Ei1oYlgi1OOW7XhzH+jfqBZM7WbR5L2AieHUha6qQkErKzQ33NTc+fmyPZVGOQqaRE3Q==" saltValue="Aqx0kVYkPEnoCp1hOFyYb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115</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8" t="s">
        <v>176</v>
      </c>
      <c r="C8" s="109"/>
      <c r="D8" s="109"/>
      <c r="E8" s="109"/>
      <c r="F8" s="110"/>
      <c r="G8" s="1"/>
    </row>
    <row r="9" spans="1:7" x14ac:dyDescent="0.25">
      <c r="A9" s="1"/>
      <c r="B9" s="80" t="s">
        <v>17</v>
      </c>
      <c r="C9" s="82" t="s">
        <v>11</v>
      </c>
      <c r="D9" s="81"/>
      <c r="E9" s="82" t="s">
        <v>27</v>
      </c>
      <c r="F9" s="32"/>
      <c r="G9" s="1"/>
    </row>
    <row r="10" spans="1:7" x14ac:dyDescent="0.25">
      <c r="A10" s="1"/>
      <c r="B10" s="24" t="s">
        <v>235</v>
      </c>
      <c r="C10" s="21">
        <v>0</v>
      </c>
      <c r="D10" s="14" t="s">
        <v>3</v>
      </c>
      <c r="E10" s="9">
        <v>1177511</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1177511</v>
      </c>
      <c r="F13" s="13" t="s">
        <v>3</v>
      </c>
      <c r="G13" s="1"/>
    </row>
    <row r="14" spans="1:7" x14ac:dyDescent="0.25">
      <c r="A14" s="1"/>
      <c r="B14" s="33" t="s">
        <v>178</v>
      </c>
      <c r="C14" s="12">
        <f>C13*(1+'Fane 15. Nøgletal'!C10)^2</f>
        <v>0</v>
      </c>
      <c r="D14" s="13" t="s">
        <v>3</v>
      </c>
      <c r="E14" s="12">
        <f>E13*(1+'Fane 15. Nøgletal'!C10)^2</f>
        <v>1338824.9319275899</v>
      </c>
      <c r="F14" s="13" t="s">
        <v>3</v>
      </c>
      <c r="G14" s="1"/>
    </row>
    <row r="15" spans="1:7" x14ac:dyDescent="0.25">
      <c r="A15" s="1"/>
      <c r="B15" s="1"/>
      <c r="C15" s="1"/>
      <c r="D15" s="1"/>
      <c r="E15" s="1"/>
      <c r="F15" s="1"/>
      <c r="G15" s="1"/>
    </row>
    <row r="16" spans="1:7" x14ac:dyDescent="0.25">
      <c r="A16" s="1"/>
      <c r="B16" s="127"/>
      <c r="C16" s="127"/>
      <c r="D16" s="127"/>
      <c r="E16" s="127"/>
      <c r="F16" s="127"/>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7"/>
      <c r="C29" s="127"/>
      <c r="D29" s="127"/>
      <c r="E29" s="127"/>
      <c r="F29" s="127"/>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4wMDgdrb3b3cM+gI8Wx894ycikZWgE30Q7qi5DaRSmovVM0EFCYxdce/egj66bd0Pc/P1GOLdpmD7QHntYtcfQ==" saltValue="bU4/ouUbNZbnKwJDbQZslQ=="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116</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ht="14.25" customHeight="1" x14ac:dyDescent="0.25">
      <c r="A8" s="1"/>
      <c r="B8" s="108" t="s">
        <v>73</v>
      </c>
      <c r="C8" s="109"/>
      <c r="D8" s="110"/>
      <c r="E8" s="1"/>
    </row>
    <row r="9" spans="1:5" x14ac:dyDescent="0.25">
      <c r="A9" s="1"/>
      <c r="B9" s="68" t="s">
        <v>179</v>
      </c>
      <c r="C9" s="9"/>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6" t="s">
        <v>74</v>
      </c>
      <c r="C12" s="12">
        <f>SUM(C9:C11)*(1+'Fane 15. Nøgletal'!C9)^2</f>
        <v>0</v>
      </c>
      <c r="D12" s="13" t="s">
        <v>3</v>
      </c>
      <c r="E12" s="1"/>
    </row>
    <row r="13" spans="1:5" x14ac:dyDescent="0.25">
      <c r="A13" s="1"/>
      <c r="B13" s="1"/>
      <c r="C13" s="1"/>
      <c r="D13" s="1"/>
      <c r="E13" s="1"/>
    </row>
    <row r="14" spans="1:5" ht="15" customHeight="1" x14ac:dyDescent="0.25">
      <c r="A14" s="1"/>
      <c r="B14" s="108" t="s">
        <v>84</v>
      </c>
      <c r="C14" s="109"/>
      <c r="D14" s="110"/>
      <c r="E14" s="1"/>
    </row>
    <row r="15" spans="1:5" x14ac:dyDescent="0.25">
      <c r="A15" s="1"/>
      <c r="B15" s="68" t="s">
        <v>179</v>
      </c>
      <c r="C15" s="9"/>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6" t="s">
        <v>85</v>
      </c>
      <c r="C18" s="12">
        <f>SUM(C15:C17)*(1+'Fane 15. Nøgletal'!C10)^3</f>
        <v>0</v>
      </c>
      <c r="D18" s="13" t="s">
        <v>3</v>
      </c>
      <c r="E18" s="1"/>
    </row>
    <row r="19" spans="1:5" x14ac:dyDescent="0.25">
      <c r="A19" s="1"/>
      <c r="B19" s="1"/>
      <c r="C19" s="1"/>
      <c r="D19" s="1"/>
      <c r="E19" s="1"/>
    </row>
    <row r="20" spans="1:5" ht="15" customHeight="1" x14ac:dyDescent="0.25">
      <c r="A20" s="1"/>
      <c r="B20" s="108" t="s">
        <v>140</v>
      </c>
      <c r="C20" s="109"/>
      <c r="D20" s="110"/>
      <c r="E20" s="1"/>
    </row>
    <row r="21" spans="1:5" x14ac:dyDescent="0.25">
      <c r="A21" s="1"/>
      <c r="B21" s="68" t="s">
        <v>179</v>
      </c>
      <c r="C21" s="9"/>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6" t="s">
        <v>141</v>
      </c>
      <c r="C24" s="12">
        <f>SUM(C21:C23)*(1+'Fane 15. Nøgletal'!C10)^4</f>
        <v>0</v>
      </c>
      <c r="D24" s="13" t="s">
        <v>3</v>
      </c>
      <c r="E24" s="1"/>
    </row>
    <row r="25" spans="1:5" x14ac:dyDescent="0.25">
      <c r="A25" s="1"/>
      <c r="B25" s="1"/>
      <c r="C25" s="1"/>
      <c r="D25" s="1"/>
      <c r="E25" s="1"/>
    </row>
    <row r="26" spans="1:5" ht="15" customHeight="1" x14ac:dyDescent="0.25">
      <c r="A26" s="1"/>
      <c r="B26" s="108" t="s">
        <v>180</v>
      </c>
      <c r="C26" s="109"/>
      <c r="D26" s="110"/>
      <c r="E26" s="1"/>
    </row>
    <row r="27" spans="1:5" ht="14.25" customHeight="1" x14ac:dyDescent="0.25">
      <c r="A27" s="1"/>
      <c r="B27" s="68" t="s">
        <v>179</v>
      </c>
      <c r="C27" s="9"/>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6"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mdGvRHEmhoNdK9LD+uujv8FSWgjPbb5eb5gIJXJd1suc/fqTr3Oj+EuTkaILElsHym7jfgWXDHO0B0aoCsF/aA==" saltValue="sTsKzclrtRoflHWYpUkhHA=="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x14ac:dyDescent="0.25">
      <c r="A8" s="1"/>
      <c r="B8" s="108" t="s">
        <v>66</v>
      </c>
      <c r="C8" s="109"/>
      <c r="D8" s="109"/>
      <c r="E8" s="109"/>
      <c r="F8" s="110"/>
      <c r="G8" s="1"/>
    </row>
    <row r="9" spans="1:7" ht="15" customHeight="1" x14ac:dyDescent="0.25">
      <c r="A9" s="1"/>
      <c r="B9" s="31" t="s">
        <v>67</v>
      </c>
      <c r="C9" s="27" t="s">
        <v>11</v>
      </c>
      <c r="D9" s="32"/>
      <c r="E9" s="27" t="s">
        <v>27</v>
      </c>
      <c r="F9" s="32"/>
      <c r="G9" s="1"/>
    </row>
    <row r="10" spans="1:7" ht="26.25" x14ac:dyDescent="0.25">
      <c r="A10" s="1"/>
      <c r="B10" s="70" t="s">
        <v>222</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pjcHw9+Dk8L3TT6sF+oqm8AxDpjPAtx0fLHV4iWcF9YToxtZc5WPxgTw3okQxHXAKTfl/kvhl1KjmANGeizMlA==" saltValue="ZTFkobJUntExmGMc9okZ8g=="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118</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8" t="s">
        <v>183</v>
      </c>
      <c r="C8" s="109"/>
      <c r="D8" s="109"/>
      <c r="E8" s="109"/>
      <c r="F8" s="110"/>
      <c r="G8" s="1"/>
    </row>
    <row r="9" spans="1:7" x14ac:dyDescent="0.25">
      <c r="A9" s="1"/>
      <c r="B9" s="31" t="s">
        <v>18</v>
      </c>
      <c r="C9" s="128" t="s">
        <v>11</v>
      </c>
      <c r="D9" s="129"/>
      <c r="E9" s="128" t="s">
        <v>27</v>
      </c>
      <c r="F9" s="129"/>
      <c r="G9" s="1"/>
    </row>
    <row r="10" spans="1:7" x14ac:dyDescent="0.25">
      <c r="A10" s="1"/>
      <c r="B10" s="70" t="s">
        <v>223</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216</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7"/>
      <c r="C14" s="127"/>
      <c r="D14" s="127"/>
      <c r="E14" s="127"/>
      <c r="F14" s="127"/>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7"/>
      <c r="C21" s="127"/>
      <c r="D21" s="127"/>
      <c r="E21" s="127"/>
      <c r="F21" s="127"/>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7"/>
      <c r="C27" s="127"/>
      <c r="D27" s="127"/>
      <c r="E27" s="127"/>
      <c r="F27" s="127"/>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lgGjZ0Th/O3BuVEEjNn4B9zzR4Xt2+B+6uLf8pXk+vHr1ebA8ptYey6MV2ozaRSk1n60Wr7YlEkDpN4VKmS0Qg==" saltValue="VvC6B1AiOH/GUWNTDahT1A=="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155</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22024049.529425859</v>
      </c>
      <c r="D9" s="8" t="s">
        <v>3</v>
      </c>
      <c r="E9" s="1"/>
    </row>
    <row r="10" spans="1:5" ht="17.25" customHeight="1" x14ac:dyDescent="0.25">
      <c r="A10" s="1"/>
      <c r="B10" s="64" t="s">
        <v>35</v>
      </c>
      <c r="C10" s="7">
        <f>'Fane 11.1. Varige tillæg'!C20</f>
        <v>83651.235000000001</v>
      </c>
      <c r="D10" s="8" t="s">
        <v>3</v>
      </c>
      <c r="E10" s="1"/>
    </row>
    <row r="11" spans="1:5" ht="17.25" customHeight="1" x14ac:dyDescent="0.25">
      <c r="A11" s="1"/>
      <c r="B11" s="64" t="s">
        <v>36</v>
      </c>
      <c r="C11" s="9">
        <f>'Fane 11.1. Varige tillæg'!E20</f>
        <v>1065412.8384</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1855726.1500440293</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-283969.6965809614</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24744870.056288924</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2779308.6484980802</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1338824.9319275899</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1338824.9319275899</v>
      </c>
      <c r="D30" s="11" t="s">
        <v>3</v>
      </c>
      <c r="E30" s="1"/>
    </row>
    <row r="31" spans="1:5" x14ac:dyDescent="0.25">
      <c r="A31" s="1"/>
      <c r="B31" s="33" t="s">
        <v>69</v>
      </c>
      <c r="C31" s="28"/>
      <c r="D31" s="19"/>
      <c r="E31" s="1"/>
    </row>
    <row r="32" spans="1:5" x14ac:dyDescent="0.25">
      <c r="A32" s="1"/>
      <c r="B32" s="31" t="s">
        <v>79</v>
      </c>
      <c r="C32" s="62">
        <f>'Fane 7. Kontrol af ØR2023'!C27</f>
        <v>-65003.926194539294</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0" t="s">
        <v>213</v>
      </c>
      <c r="C37" s="28"/>
      <c r="D37" s="19"/>
      <c r="E37" s="1"/>
    </row>
    <row r="38" spans="1:5" x14ac:dyDescent="0.25">
      <c r="A38" s="1"/>
      <c r="B38" s="67" t="s">
        <v>214</v>
      </c>
      <c r="C38" s="10">
        <v>984508.5431848194</v>
      </c>
      <c r="D38" s="11" t="s">
        <v>3</v>
      </c>
      <c r="E38" s="1"/>
    </row>
    <row r="39" spans="1:5" x14ac:dyDescent="0.25">
      <c r="A39" s="1"/>
      <c r="B39" s="33" t="s">
        <v>71</v>
      </c>
      <c r="C39" s="45">
        <f>SUM(C34,C32,C24,C30,C22,C20,C36,C38)</f>
        <v>29782508.253704876</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Y0cTUZZCVR5Z0/RkAhjiDTY9DGG0qrVEKLtnTpxP7WjGSOfG2GuwqIZVWSb3gr1OhFNxc3xNu4hzsy7Yf/+AYA==" saltValue="56Fm+UCjbeX3OCYVI7U/M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7" t="s">
        <v>119</v>
      </c>
      <c r="C3" s="107"/>
      <c r="D3" s="1"/>
    </row>
    <row r="4" spans="1:4" ht="15" customHeight="1" x14ac:dyDescent="0.25">
      <c r="A4" s="1"/>
      <c r="B4" s="107"/>
      <c r="C4" s="107"/>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226</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215</v>
      </c>
      <c r="C15" s="60">
        <v>0</v>
      </c>
      <c r="D15" s="1"/>
    </row>
    <row r="16" spans="1:4" x14ac:dyDescent="0.25">
      <c r="A16" s="1"/>
      <c r="B16" s="59" t="s">
        <v>227</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xKlWdm2C0MpCH3/6YTF4opvfFceQsHCZABeuw3WYrRVOi7a5Hluqg0Bq3G7x3vqCM5rbRgB/dJ2o15D99lOfyg==" saltValue="Iznk6rHgEWnpcONelBFeu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156</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24744870.056288924</v>
      </c>
      <c r="D9" s="8" t="s">
        <v>3</v>
      </c>
      <c r="E9" s="1"/>
    </row>
    <row r="10" spans="1:5" ht="15" customHeight="1" x14ac:dyDescent="0.25">
      <c r="A10" s="1"/>
      <c r="B10" s="26" t="s">
        <v>19</v>
      </c>
      <c r="C10" s="7">
        <f>C9*'Fane 15. Nøgletal'!C10</f>
        <v>1640584.8847319556</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-296740.94971499353</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26088713.991305888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2963576.8118935032</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29052290.803199392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QHx/jVuqCG2PPsBC3NQBxE3VOVIo6kszRHhiG51bhL8W8bh24HrDQXbcamLdkR47yrpBYyyO7PdxxuSTI2LGCA==" saltValue="zte7Fh5QbQ4uy5mXtnD7Y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157</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26088713.991305888</v>
      </c>
      <c r="D9" s="8" t="s">
        <v>3</v>
      </c>
      <c r="E9" s="1"/>
    </row>
    <row r="10" spans="1:5" ht="15" customHeight="1" x14ac:dyDescent="0.25">
      <c r="A10" s="1"/>
      <c r="B10" s="26" t="s">
        <v>19</v>
      </c>
      <c r="C10" s="7">
        <f>SUM(C9:C9)*'Fane 15. Nøgletal'!C10</f>
        <v>1729681.7376235803</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-310086.57718747563</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27508309.151741993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3160061.9545220421</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30668371.106264036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8CCYP9+zWgFeUNHCI/j3ZOgukf5XmXFiQg5JtMfACIAgWZLkxDwEkhNTfTaFpuyfL3SVQR/bkRalmY4GIvxYw==" saltValue="rpwPDvQe9ZnQ2uwITuAGt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158</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27508309.151741993</v>
      </c>
      <c r="D9" s="8" t="s">
        <v>3</v>
      </c>
      <c r="E9" s="1"/>
    </row>
    <row r="10" spans="1:5" ht="15" customHeight="1" x14ac:dyDescent="0.25">
      <c r="A10" s="1"/>
      <c r="B10" s="26" t="s">
        <v>19</v>
      </c>
      <c r="C10" s="7">
        <f>SUM(C9:C9)*'Fane 15. Nøgletal'!C10</f>
        <v>1823800.896760494</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-324032.41090990516</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29008077.63759258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3369574.0621068538</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32377651.699699435</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XORIdwgrD9gBUTJ8qPp7ec+G5jeUhC5ttQQ7Jepoq5SscIKfdz1C7hWvMLelUu8lEBvIbmGoXhhh23eaUEXPEA==" saltValue="9Rj9cwjhHvOntYaLkaul8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7" t="s">
        <v>161</v>
      </c>
      <c r="C3" s="107"/>
      <c r="D3" s="107"/>
      <c r="E3" s="1"/>
    </row>
    <row r="4" spans="1:5" ht="15" customHeight="1" x14ac:dyDescent="0.25">
      <c r="A4" s="1"/>
      <c r="B4" s="107"/>
      <c r="C4" s="107"/>
      <c r="D4" s="107"/>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20563779.367249213</v>
      </c>
      <c r="D9" s="8" t="s">
        <v>3</v>
      </c>
      <c r="E9" s="1"/>
    </row>
    <row r="10" spans="1:5" ht="15" customHeight="1" x14ac:dyDescent="0.25">
      <c r="A10" s="1"/>
      <c r="B10" s="64" t="s">
        <v>35</v>
      </c>
      <c r="C10" s="7">
        <v>60265.407999999996</v>
      </c>
      <c r="D10" s="8" t="s">
        <v>3</v>
      </c>
      <c r="E10" s="1"/>
    </row>
    <row r="11" spans="1:5" ht="15" customHeight="1" x14ac:dyDescent="0.25">
      <c r="A11" s="1"/>
      <c r="B11" s="64" t="s">
        <v>36</v>
      </c>
      <c r="C11" s="9">
        <v>0</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1666422.8178401364</v>
      </c>
      <c r="D16" s="8" t="s">
        <v>3</v>
      </c>
      <c r="E16" s="1"/>
    </row>
    <row r="17" spans="1:5" ht="15" customHeight="1" x14ac:dyDescent="0.25">
      <c r="A17" s="1"/>
      <c r="B17" s="64" t="s">
        <v>10</v>
      </c>
      <c r="C17" s="38">
        <v>0</v>
      </c>
      <c r="D17" s="8" t="s">
        <v>3</v>
      </c>
      <c r="E17" s="1"/>
    </row>
    <row r="18" spans="1:5" ht="15" customHeight="1" x14ac:dyDescent="0.25">
      <c r="A18" s="1"/>
      <c r="B18" s="64" t="s">
        <v>22</v>
      </c>
      <c r="C18" s="38">
        <v>-266418.0636634914</v>
      </c>
      <c r="D18" s="8" t="s">
        <v>3</v>
      </c>
      <c r="E18" s="1"/>
    </row>
    <row r="19" spans="1:5" ht="15" customHeight="1" x14ac:dyDescent="0.25">
      <c r="A19" s="1"/>
      <c r="B19" s="64" t="s">
        <v>23</v>
      </c>
      <c r="C19" s="38">
        <v>0</v>
      </c>
      <c r="D19" s="8" t="s">
        <v>3</v>
      </c>
      <c r="E19" s="43"/>
    </row>
    <row r="20" spans="1:5" ht="15" customHeight="1" x14ac:dyDescent="0.25">
      <c r="A20" s="1"/>
      <c r="B20" s="82" t="s">
        <v>21</v>
      </c>
      <c r="C20" s="10">
        <v>22024049.529425859</v>
      </c>
      <c r="D20" s="11" t="s">
        <v>3</v>
      </c>
      <c r="E20" s="1"/>
    </row>
    <row r="21" spans="1:5" ht="15" customHeight="1" x14ac:dyDescent="0.25">
      <c r="A21" s="1"/>
      <c r="B21" s="33" t="s">
        <v>12</v>
      </c>
      <c r="C21" s="28"/>
      <c r="D21" s="19"/>
      <c r="E21" s="1"/>
    </row>
    <row r="22" spans="1:5" ht="15" customHeight="1" x14ac:dyDescent="0.25">
      <c r="A22" s="1"/>
      <c r="B22" s="31" t="s">
        <v>12</v>
      </c>
      <c r="C22" s="10">
        <v>2128975.1890892801</v>
      </c>
      <c r="D22" s="11" t="s">
        <v>3</v>
      </c>
      <c r="E22" s="1"/>
    </row>
    <row r="23" spans="1:5" ht="15" customHeight="1" x14ac:dyDescent="0.25">
      <c r="A23" s="1"/>
      <c r="B23" s="33" t="s">
        <v>42</v>
      </c>
      <c r="C23" s="28"/>
      <c r="D23" s="19"/>
      <c r="E23" s="1"/>
    </row>
    <row r="24" spans="1:5" ht="15" customHeight="1" x14ac:dyDescent="0.25">
      <c r="A24" s="1"/>
      <c r="B24" s="82" t="s">
        <v>42</v>
      </c>
      <c r="C24" s="10">
        <v>0</v>
      </c>
      <c r="D24" s="11" t="s">
        <v>3</v>
      </c>
      <c r="E24" s="1"/>
    </row>
    <row r="25" spans="1:5" x14ac:dyDescent="0.25">
      <c r="A25" s="1"/>
      <c r="B25" s="41" t="s">
        <v>41</v>
      </c>
      <c r="C25" s="39"/>
      <c r="D25" s="40"/>
      <c r="E25" s="1"/>
    </row>
    <row r="26" spans="1:5" ht="15" customHeight="1" x14ac:dyDescent="0.25">
      <c r="A26" s="1"/>
      <c r="B26" s="64" t="s">
        <v>89</v>
      </c>
      <c r="C26" s="71">
        <v>0</v>
      </c>
      <c r="D26" s="8" t="s">
        <v>3</v>
      </c>
      <c r="E26" s="1"/>
    </row>
    <row r="27" spans="1:5" ht="15" customHeight="1" x14ac:dyDescent="0.25">
      <c r="A27" s="1"/>
      <c r="B27" s="64" t="s">
        <v>38</v>
      </c>
      <c r="C27" s="71">
        <v>0</v>
      </c>
      <c r="D27" s="8" t="s">
        <v>3</v>
      </c>
      <c r="E27" s="1"/>
    </row>
    <row r="28" spans="1:5" ht="15" customHeight="1" x14ac:dyDescent="0.25">
      <c r="A28" s="1"/>
      <c r="B28" s="64" t="s">
        <v>92</v>
      </c>
      <c r="C28" s="71">
        <v>0</v>
      </c>
      <c r="D28" s="8" t="s">
        <v>3</v>
      </c>
      <c r="E28" s="1"/>
    </row>
    <row r="29" spans="1:5" ht="15" customHeight="1" x14ac:dyDescent="0.25">
      <c r="A29" s="1"/>
      <c r="B29" s="64" t="s">
        <v>93</v>
      </c>
      <c r="C29" s="71">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-480312</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0" t="s">
        <v>213</v>
      </c>
      <c r="C37" s="28"/>
      <c r="D37" s="19"/>
      <c r="E37" s="1"/>
    </row>
    <row r="38" spans="1:5" x14ac:dyDescent="0.25">
      <c r="A38" s="1"/>
      <c r="B38" s="67" t="s">
        <v>214</v>
      </c>
      <c r="C38" s="10">
        <v>694761</v>
      </c>
      <c r="D38" s="11" t="s">
        <v>3</v>
      </c>
      <c r="E38" s="1"/>
    </row>
    <row r="39" spans="1:5" x14ac:dyDescent="0.25">
      <c r="A39" s="1"/>
      <c r="B39" s="33" t="s">
        <v>65</v>
      </c>
      <c r="C39" s="45">
        <v>24367473.718515139</v>
      </c>
      <c r="D39" s="30" t="s">
        <v>3</v>
      </c>
      <c r="E39" s="1"/>
    </row>
    <row r="40" spans="1:5" ht="30" customHeight="1" x14ac:dyDescent="0.25">
      <c r="A40" s="1"/>
      <c r="B40" s="106" t="s">
        <v>225</v>
      </c>
      <c r="C40" s="106"/>
      <c r="D40" s="106"/>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nwLWmVp+ERdNZ8Qq8bLfx8YmqyyBGGMy72Nv56nqFRRqEkFi8XgXQTCH3l2CtEldEJnjj1Al0BEmQyORTsBjxw==" saltValue="stYid4TqJlEH52FYgLzbIg==" spinCount="100000" sheet="1" objects="1" scenarios="1"/>
  <mergeCells count="2">
    <mergeCell ref="B40:D40"/>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7" t="s">
        <v>56</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5"/>
      <c r="C6" s="75"/>
      <c r="D6" s="75"/>
      <c r="E6" s="1"/>
    </row>
    <row r="7" spans="1:5" x14ac:dyDescent="0.25">
      <c r="A7" s="1"/>
      <c r="B7" s="1"/>
      <c r="C7" s="1"/>
      <c r="D7" s="1"/>
      <c r="E7" s="1"/>
    </row>
    <row r="8" spans="1:5" x14ac:dyDescent="0.25">
      <c r="A8" s="1"/>
      <c r="B8" s="108" t="s">
        <v>123</v>
      </c>
      <c r="C8" s="109"/>
      <c r="D8" s="110"/>
      <c r="E8" s="1"/>
    </row>
    <row r="9" spans="1:5" x14ac:dyDescent="0.25">
      <c r="A9" s="1"/>
      <c r="B9" s="65" t="s">
        <v>88</v>
      </c>
      <c r="C9" s="23">
        <v>13255768.330208167</v>
      </c>
      <c r="D9" s="14" t="s">
        <v>3</v>
      </c>
      <c r="E9" s="1"/>
    </row>
    <row r="10" spans="1:5" x14ac:dyDescent="0.25">
      <c r="A10" s="1"/>
      <c r="B10" s="65" t="s">
        <v>125</v>
      </c>
      <c r="C10" s="23">
        <f>('Fane 3. Omkostninger i ØR2024'!C10+'Fane 3. Omkostninger i ØR2024'!C12+'Fane 3. Omkostninger i ØR2024'!C14)*(1+'Fane 15. Nøgletal'!C9)</f>
        <v>65134.852966399994</v>
      </c>
      <c r="D10" s="14" t="s">
        <v>3</v>
      </c>
      <c r="E10" s="1"/>
    </row>
    <row r="11" spans="1:5" x14ac:dyDescent="0.25">
      <c r="A11" s="1"/>
      <c r="B11" s="65" t="s">
        <v>131</v>
      </c>
      <c r="C11" s="23">
        <f>C9*'Fane 15. Nøgletal'!C21+C10*'Fane 15. Nøgletal'!C21</f>
        <v>266418.0636634914</v>
      </c>
      <c r="D11" s="14" t="s">
        <v>3</v>
      </c>
      <c r="E11" s="1"/>
    </row>
    <row r="12" spans="1:5" x14ac:dyDescent="0.25">
      <c r="A12" s="1"/>
      <c r="B12" s="33"/>
      <c r="C12" s="28"/>
      <c r="D12" s="19"/>
      <c r="E12" s="1"/>
    </row>
    <row r="13" spans="1:5" x14ac:dyDescent="0.25">
      <c r="A13" s="1"/>
      <c r="B13" s="1"/>
      <c r="C13" s="1"/>
      <c r="D13" s="1"/>
      <c r="E13" s="1"/>
    </row>
    <row r="14" spans="1:5" x14ac:dyDescent="0.25">
      <c r="A14" s="1"/>
      <c r="B14" s="108" t="s">
        <v>124</v>
      </c>
      <c r="C14" s="109"/>
      <c r="D14" s="110"/>
      <c r="E14" s="1"/>
    </row>
    <row r="15" spans="1:5" x14ac:dyDescent="0.25">
      <c r="A15" s="1"/>
      <c r="B15" s="65" t="s">
        <v>133</v>
      </c>
      <c r="C15" s="23">
        <f>(C9+C10-C11)*(1+'Fane 15. Nøgletal'!C9)</f>
        <v>14109287.51716757</v>
      </c>
      <c r="D15" s="14" t="s">
        <v>3</v>
      </c>
      <c r="E15" s="1"/>
    </row>
    <row r="16" spans="1:5" x14ac:dyDescent="0.25">
      <c r="A16" s="1"/>
      <c r="B16" s="65" t="s">
        <v>184</v>
      </c>
      <c r="C16" s="23">
        <f>('Fane 2.1. Økonomisk ramme 2025'!C10+'Fane 2.1. Økonomisk ramme 2025'!C12+'Fane 2.1. Økonomisk ramme 2025'!C14)*(1+'Fane 15. Nøgletal'!C10)</f>
        <v>89197.311880499998</v>
      </c>
      <c r="D16" s="14" t="s">
        <v>3</v>
      </c>
      <c r="E16" s="1"/>
    </row>
    <row r="17" spans="1:5" x14ac:dyDescent="0.25">
      <c r="A17" s="1"/>
      <c r="B17" s="65" t="s">
        <v>132</v>
      </c>
      <c r="C17" s="23">
        <f>C15*'Fane 15. Nøgletal'!C21+C16*'Fane 15. Nøgletal'!C21</f>
        <v>283969.6965809614</v>
      </c>
      <c r="D17" s="14" t="s">
        <v>3</v>
      </c>
      <c r="E17" s="1"/>
    </row>
    <row r="18" spans="1:5" x14ac:dyDescent="0.25">
      <c r="A18" s="1"/>
      <c r="B18" s="33"/>
      <c r="C18" s="28"/>
      <c r="D18" s="19"/>
      <c r="E18" s="1"/>
    </row>
    <row r="19" spans="1:5" x14ac:dyDescent="0.25">
      <c r="A19" s="1"/>
      <c r="B19" s="1"/>
      <c r="C19" s="63"/>
      <c r="D19" s="1"/>
      <c r="E19" s="1"/>
    </row>
    <row r="20" spans="1:5" x14ac:dyDescent="0.25">
      <c r="A20" s="1"/>
      <c r="B20" s="108" t="s">
        <v>145</v>
      </c>
      <c r="C20" s="109"/>
      <c r="D20" s="110"/>
      <c r="E20" s="1"/>
    </row>
    <row r="21" spans="1:5" x14ac:dyDescent="0.25">
      <c r="A21" s="1"/>
      <c r="B21" s="65" t="s">
        <v>189</v>
      </c>
      <c r="C21" s="23">
        <f>(C15+C16-C17)*(1+'Fane 15. Nøgletal'!C10)</f>
        <v>14837047.485749677</v>
      </c>
      <c r="D21" s="14" t="s">
        <v>3</v>
      </c>
      <c r="E21" s="1"/>
    </row>
    <row r="22" spans="1:5" x14ac:dyDescent="0.25">
      <c r="A22" s="1"/>
      <c r="B22" s="65" t="s">
        <v>196</v>
      </c>
      <c r="C22" s="23">
        <f>C21*'Fane 15. Nøgletal'!C21</f>
        <v>296740.94971499353</v>
      </c>
      <c r="D22" s="14" t="s">
        <v>3</v>
      </c>
      <c r="E22" s="1"/>
    </row>
    <row r="23" spans="1:5" x14ac:dyDescent="0.25">
      <c r="A23" s="1"/>
      <c r="B23" s="33"/>
      <c r="C23" s="28"/>
      <c r="D23" s="19"/>
      <c r="E23" s="1"/>
    </row>
    <row r="24" spans="1:5" x14ac:dyDescent="0.25">
      <c r="A24" s="1"/>
      <c r="B24" s="1"/>
      <c r="C24" s="1"/>
      <c r="D24" s="1"/>
      <c r="E24" s="1"/>
    </row>
    <row r="25" spans="1:5" x14ac:dyDescent="0.25">
      <c r="A25" s="1"/>
      <c r="B25" s="108" t="s">
        <v>187</v>
      </c>
      <c r="C25" s="109"/>
      <c r="D25" s="110"/>
      <c r="E25" s="1"/>
    </row>
    <row r="26" spans="1:5" x14ac:dyDescent="0.25">
      <c r="A26" s="1"/>
      <c r="B26" s="65" t="s">
        <v>190</v>
      </c>
      <c r="C26" s="23">
        <f>(C21-C22)*(1+'Fane 15. Nøgletal'!C10)</f>
        <v>15504328.859373782</v>
      </c>
      <c r="D26" s="14" t="s">
        <v>3</v>
      </c>
      <c r="E26" s="1"/>
    </row>
    <row r="27" spans="1:5" x14ac:dyDescent="0.25">
      <c r="A27" s="1"/>
      <c r="B27" s="65" t="s">
        <v>194</v>
      </c>
      <c r="C27" s="23">
        <f>C26*'Fane 15. Nøgletal'!C21</f>
        <v>310086.57718747563</v>
      </c>
      <c r="D27" s="14" t="s">
        <v>3</v>
      </c>
      <c r="E27" s="1"/>
    </row>
    <row r="28" spans="1:5" x14ac:dyDescent="0.25">
      <c r="A28" s="1"/>
      <c r="B28" s="33"/>
      <c r="C28" s="28"/>
      <c r="D28" s="19"/>
      <c r="E28" s="1"/>
    </row>
    <row r="29" spans="1:5" x14ac:dyDescent="0.25">
      <c r="A29" s="1"/>
      <c r="B29" s="1"/>
      <c r="C29" s="1"/>
      <c r="D29" s="1"/>
      <c r="E29" s="1"/>
    </row>
    <row r="30" spans="1:5" x14ac:dyDescent="0.25">
      <c r="A30" s="1"/>
      <c r="B30" s="108" t="s">
        <v>188</v>
      </c>
      <c r="C30" s="109"/>
      <c r="D30" s="110"/>
      <c r="E30" s="1"/>
    </row>
    <row r="31" spans="1:5" x14ac:dyDescent="0.25">
      <c r="A31" s="1"/>
      <c r="B31" s="65" t="s">
        <v>191</v>
      </c>
      <c r="C31" s="23">
        <f>(C26-C27)*(1+'Fane 15. Nøgletal'!C10)</f>
        <v>16201620.545495259</v>
      </c>
      <c r="D31" s="14" t="s">
        <v>3</v>
      </c>
      <c r="E31" s="1"/>
    </row>
    <row r="32" spans="1:5" x14ac:dyDescent="0.25">
      <c r="A32" s="1"/>
      <c r="B32" s="65" t="s">
        <v>195</v>
      </c>
      <c r="C32" s="23">
        <f>C31*'Fane 15. Nøgletal'!C21</f>
        <v>324032.41090990516</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I2FTLGQYQqQOvtkk/4RNMO2dqtasqcz8NsevOTE8pfpHoIIySWVzYgsEZoUaIX765UB2VeyYrbQ0zodEM/9H3g==" saltValue="l9Szs6iQnLHuUrgBWcUlQw=="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35">
      <c r="A6" s="1"/>
      <c r="B6" s="69"/>
      <c r="C6" s="69"/>
      <c r="D6" s="69"/>
      <c r="E6" s="1"/>
    </row>
    <row r="7" spans="1:5" x14ac:dyDescent="0.25">
      <c r="A7" s="1"/>
      <c r="B7" s="1"/>
      <c r="C7" s="1"/>
      <c r="D7" s="1"/>
      <c r="E7" s="1"/>
    </row>
    <row r="8" spans="1:5" x14ac:dyDescent="0.25">
      <c r="A8" s="1"/>
      <c r="B8" s="108" t="s">
        <v>147</v>
      </c>
      <c r="C8" s="109"/>
      <c r="D8" s="110"/>
      <c r="E8" s="1"/>
    </row>
    <row r="9" spans="1:5" x14ac:dyDescent="0.25">
      <c r="A9" s="1"/>
      <c r="B9" s="65" t="s">
        <v>134</v>
      </c>
      <c r="C9" s="23">
        <v>10287513.90926528</v>
      </c>
      <c r="D9" s="14" t="s">
        <v>3</v>
      </c>
      <c r="E9" s="1"/>
    </row>
    <row r="10" spans="1:5" x14ac:dyDescent="0.25">
      <c r="A10" s="1"/>
      <c r="B10" s="65" t="s">
        <v>126</v>
      </c>
      <c r="C10" s="23">
        <f>('Fane 3. Omkostninger i ØR2024'!C11+'Fane 3. Omkostninger i ØR2024'!C13+'Fane 3. Omkostninger i ØR2024'!C15)*(1+'Fane 15. Nøgletal'!C9)</f>
        <v>0</v>
      </c>
      <c r="D10" s="14" t="s">
        <v>3</v>
      </c>
      <c r="E10" s="1"/>
    </row>
    <row r="11" spans="1:5" x14ac:dyDescent="0.25">
      <c r="A11" s="1"/>
      <c r="B11" s="65" t="s">
        <v>135</v>
      </c>
      <c r="C11" s="2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8" t="s">
        <v>146</v>
      </c>
      <c r="C14" s="109"/>
      <c r="D14" s="110"/>
      <c r="E14" s="1"/>
    </row>
    <row r="15" spans="1:5" x14ac:dyDescent="0.25">
      <c r="A15" s="1"/>
      <c r="B15" s="65" t="s">
        <v>136</v>
      </c>
      <c r="C15" s="23">
        <f>(C9+C10-C11)*(1+'Fane 15. Nøgletal'!C9)</f>
        <v>11118745.033133915</v>
      </c>
      <c r="D15" s="14" t="s">
        <v>3</v>
      </c>
      <c r="E15" s="1"/>
    </row>
    <row r="16" spans="1:5" x14ac:dyDescent="0.25">
      <c r="A16" s="1"/>
      <c r="B16" s="65" t="s">
        <v>185</v>
      </c>
      <c r="C16" s="23">
        <f>('Fane 2.1. Økonomisk ramme 2025'!C11+'Fane 2.1. Økonomisk ramme 2025'!C13+'Fane 2.1. Økonomisk ramme 2025'!C15)*(1+'Fane 15. Nøgletal'!C10)</f>
        <v>1136049.70958592</v>
      </c>
      <c r="D16" s="14" t="s">
        <v>3</v>
      </c>
      <c r="E16" s="1"/>
    </row>
    <row r="17" spans="1:5" x14ac:dyDescent="0.25">
      <c r="A17" s="1"/>
      <c r="B17" s="65" t="s">
        <v>137</v>
      </c>
      <c r="C17" s="2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8" t="s">
        <v>82</v>
      </c>
      <c r="C20" s="109"/>
      <c r="D20" s="110"/>
      <c r="E20" s="1"/>
    </row>
    <row r="21" spans="1:5" x14ac:dyDescent="0.25">
      <c r="A21" s="1"/>
      <c r="B21" s="65" t="s">
        <v>192</v>
      </c>
      <c r="C21" s="23">
        <f>(C15+C16-C17)*(1+'Fane 15. Nøgletal'!C10)</f>
        <v>13067287.63416216</v>
      </c>
      <c r="D21" s="14" t="s">
        <v>3</v>
      </c>
      <c r="E21" s="1"/>
    </row>
    <row r="22" spans="1:5" x14ac:dyDescent="0.25">
      <c r="A22" s="1"/>
      <c r="B22" s="65" t="s">
        <v>197</v>
      </c>
      <c r="C22" s="2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8" t="s">
        <v>138</v>
      </c>
      <c r="C25" s="109"/>
      <c r="D25" s="110"/>
      <c r="E25" s="1"/>
    </row>
    <row r="26" spans="1:5" x14ac:dyDescent="0.25">
      <c r="A26" s="1"/>
      <c r="B26" s="65" t="s">
        <v>193</v>
      </c>
      <c r="C26" s="23">
        <f>(C21-C22)*(1+'Fane 15. Nøgletal'!C10)</f>
        <v>13933648.804307111</v>
      </c>
      <c r="D26" s="14" t="s">
        <v>3</v>
      </c>
      <c r="E26" s="1"/>
    </row>
    <row r="27" spans="1:5" x14ac:dyDescent="0.25">
      <c r="A27" s="1"/>
      <c r="B27" s="65" t="s">
        <v>198</v>
      </c>
      <c r="C27" s="2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8" t="s">
        <v>163</v>
      </c>
      <c r="C30" s="109"/>
      <c r="D30" s="110"/>
      <c r="E30" s="1"/>
    </row>
    <row r="31" spans="1:5" x14ac:dyDescent="0.25">
      <c r="A31" s="1"/>
      <c r="B31" s="65" t="s">
        <v>200</v>
      </c>
      <c r="C31" s="23">
        <f>(C26-C27)*(1+'Fane 15. Nøgletal'!C10)</f>
        <v>14857449.720032671</v>
      </c>
      <c r="D31" s="14" t="s">
        <v>3</v>
      </c>
      <c r="E31" s="1"/>
    </row>
    <row r="32" spans="1:5" x14ac:dyDescent="0.25">
      <c r="A32" s="1"/>
      <c r="B32" s="65" t="s">
        <v>199</v>
      </c>
      <c r="C32" s="2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gGhL+u7zhreM2ptsd18pwOa8elIOa3pJnGcR4BE3RUUZFi0aF50LBX/66nWWTLd7loO+SHeuDAgqOywo49L7qg==" saltValue="a3y7CeEk2OMgnYbv7ePudQ=="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4" t="s">
        <v>44</v>
      </c>
      <c r="C3" s="104"/>
      <c r="D3" s="1"/>
    </row>
    <row r="4" spans="1:4" ht="15" customHeight="1" x14ac:dyDescent="0.25">
      <c r="A4" s="1"/>
      <c r="B4" s="104"/>
      <c r="C4" s="10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8" t="s">
        <v>10</v>
      </c>
      <c r="C8" s="110"/>
      <c r="D8" s="1"/>
    </row>
    <row r="9" spans="1:4" x14ac:dyDescent="0.25">
      <c r="A9" s="1"/>
      <c r="B9" s="65" t="s">
        <v>164</v>
      </c>
      <c r="C9" s="22">
        <v>0</v>
      </c>
      <c r="D9" s="1"/>
    </row>
    <row r="10" spans="1:4" x14ac:dyDescent="0.25">
      <c r="A10" s="1"/>
      <c r="B10" s="33"/>
      <c r="C10" s="19"/>
      <c r="D10" s="1"/>
    </row>
    <row r="11" spans="1:4" x14ac:dyDescent="0.25">
      <c r="A11" s="1"/>
      <c r="B11" s="112" t="s">
        <v>220</v>
      </c>
      <c r="C11" s="113"/>
      <c r="D11" s="1"/>
    </row>
    <row r="12" spans="1:4" x14ac:dyDescent="0.25">
      <c r="A12" s="1"/>
      <c r="B12" s="114"/>
      <c r="C12" s="11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mo0RaM47rudqgUwrXMS+j+mo8eRKjC3sNQ3biW1FfrUx9m5Rg0yfLDsPb3VwqONZSWBHCuY09qnP/OtV5Q+MJg==" saltValue="IbRfRZbjMrxljDZtJ8JWPw=="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2024-05-06T07:45:39Z</cp:lastPrinted>
  <dcterms:created xsi:type="dcterms:W3CDTF">2016-06-02T08:51:18Z</dcterms:created>
  <dcterms:modified xsi:type="dcterms:W3CDTF">2024-09-10T08:59:38Z</dcterms:modified>
</cp:coreProperties>
</file>