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entofte AS (S028)\ØR2025\"/>
    </mc:Choice>
  </mc:AlternateContent>
  <xr:revisionPtr revIDLastSave="0" documentId="13_ncr:1_{4BCFBD33-B3CA-460C-B071-9BF6E84744F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<sst xmlns="http://schemas.openxmlformats.org/spreadsheetml/2006/main" count="551" uniqueCount="237">
  <si>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</si>
  <si>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</si>
  <si>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</si>
  <si>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</si>
  <si>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</si>
  <si>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</si>
  <si>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</si>
  <si>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</si>
  <si>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</si>
  <si>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</si>
  <si>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</si>
  <si>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</si>
  <si>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</si>
  <si>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</si>
  <si>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</si>
  <si>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</si>
  <si>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</si>
  <si>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</si>
  <si>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</si>
  <si>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</si>
  <si>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</si>
  <si>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</si>
  <si>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</si>
  <si>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</si>
  <si>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</si>
  <si>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</si>
  <si>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</si>
  <si>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</si>
  <si>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</si>
  <si>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</si>
  <si>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</si>
  <si>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</si>
  <si>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</si>
  <si>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</si>
  <si>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</si>
  <si>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</si>
  <si>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</si>
  <si>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</si>
  <si>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</si>
  <si>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</si>
  <si>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</si>
  <si>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</si>
  <si>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</si>
  <si>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</si>
  <si>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</si>
  <si>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</si>
  <si>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</si>
  <si>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</si>
  <si>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</si>
  <si>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</si>
  <si>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</si>
  <si>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</si>
  <si>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</si>
  <si>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</si>
  <si>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</si>
  <si>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</si>
  <si>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</si>
  <si>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</si>
  <si>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</si>
  <si>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</si>
  <si>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</si>
  <si>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</si>
  <si>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</si>
  <si>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</si>
  <si>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</si>
  <si>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</si>
  <si>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</si>
  <si>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</si>
  <si>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</si>
  <si>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</si>
  <si>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</si>
  <si>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</si>
  <si>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</si>
  <si>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</si>
  <si>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</si>
  <si>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</si>
  <si>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</si>
  <si>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</si>
  <si>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</si>
  <si>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</si>
  <si>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</si>
  <si>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</si>
  <si>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</si>
  <si>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</si>
  <si>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</si>
  <si>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</si>
  <si>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</si>
  <si>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</si>
  <si>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</si>
  <si>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</si>
  <si>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</si>
  <si>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</si>
  <si>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</si>
  <si>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</si>
  <si>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</si>
  <si>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</si>
  <si>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</si>
  <si>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</si>
  <si>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</si>
  <si>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</si>
  <si>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</si>
  <si>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</si>
  <si>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</si>
  <si>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</si>
  <si>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</si>
  <si>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</si>
  <si>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</si>
  <si>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</si>
  <si>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</si>
  <si>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</si>
  <si>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</si>
  <si>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</si>
  <si>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</si>
  <si>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</si>
  <si>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</si>
  <si>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</si>
  <si>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</si>
  <si>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</si>
  <si>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</si>
  <si>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</si>
  <si>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</si>
  <si>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</si>
  <si>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</si>
  <si>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</si>
  <si>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</si>
  <si>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</si>
  <si>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</si>
  <si>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</si>
  <si>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</si>
  <si>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</si>
  <si>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</si>
  <si>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</si>
  <si>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</si>
  <si>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</si>
  <si>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</si>
  <si>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</si>
  <si>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</si>
  <si>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</si>
  <si>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</si>
  <si>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</si>
  <si>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</si>
  <si>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</si>
  <si>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</si>
  <si>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</si>
  <si>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</si>
  <si>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</si>
  <si>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</si>
  <si>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</si>
  <si>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</si>
  <si>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</si>
  <si>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</si>
  <si>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</si>
  <si>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</si>
  <si>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</si>
  <si>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</si>
  <si>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</si>
  <si>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</si>
  <si>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</si>
  <si>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</si>
  <si>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</si>
  <si>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</si>
  <si>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</si>
  <si>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</si>
  <si>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</si>
  <si>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</si>
  <si>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</si>
  <si>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</si>
  <si>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</si>
  <si>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</si>
  <si>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</si>
  <si>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</si>
  <si>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</si>
  <si>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</si>
  <si>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</si>
  <si>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</si>
  <si>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</si>
  <si>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</si>
  <si>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</si>
  <si>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</si>
  <si>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</si>
  <si>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</si>
  <si>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</si>
  <si>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</si>
  <si>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</si>
  <si>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</si>
  <si>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</si>
  <si>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</si>
  <si>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</si>
  <si>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</si>
  <si>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</si>
  <si>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</si>
  <si>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</si>
  <si>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</si>
  <si>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</si>
  <si>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</si>
  <si>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</si>
  <si>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</si>
  <si>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</si>
  <si>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</si>
  <si>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</si>
  <si>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</si>
  <si>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</si>
  <si>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</si>
  <si>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</si>
  <si>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</si>
  <si>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</si>
  <si>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</si>
  <si>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</si>
  <si>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</si>
  <si>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</si>
  <si>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</si>
  <si>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</si>
  <si>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</si>
  <si>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</si>
  <si>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</si>
  <si>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</si>
  <si>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</si>
  <si>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</si>
  <si>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</si>
  <si>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</si>
  <si>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</si>
  <si>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</si>
  <si>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</si>
  <si>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</si>
  <si>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</si>
  <si>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</si>
  <si>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</si>
  <si>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</si>
  <si>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Tjenestemandspensioner</t>
  </si>
  <si>
    <t>Erstatninger</t>
  </si>
  <si>
    <t>Gebyr til Miljøstyrelsen</t>
  </si>
  <si>
    <t>Til statusmeddelelse for 2025</t>
  </si>
  <si>
    <t>SGE Ignition</t>
  </si>
  <si>
    <t>SGE Ny trykledning - Tuborg syd fortsættelse</t>
  </si>
  <si>
    <t>SGE Strandvejsområdet etape 2+4+5</t>
  </si>
  <si>
    <t>SGE Byggemodninger og Stiketableringer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</si>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</sst>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231</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DK4fEAmGFmMKNKBXUeA8p0lF9SdeUh4zzrlTLxweORfY0Fz++wMYe7zYmAW2L7jAW0ow+cPE8avmPjzvFpQpiw==" saltValue="jOMC+6h3lQYHF3J9m0u/T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115006</v>
      </c>
      <c r="D10" s="14" t="s">
        <v>3</v>
      </c>
      <c r="E10" s="1"/>
    </row>
    <row r="11" spans="1:5" ht="15" customHeight="1" x14ac:dyDescent="0.25">
      <c r="A11" s="1"/>
      <c r="B11" s="72" t="s">
        <v>227</v>
      </c>
      <c r="C11" s="73">
        <v>26685214</v>
      </c>
      <c r="D11" s="14" t="s">
        <v>3</v>
      </c>
      <c r="E11" s="1"/>
    </row>
    <row r="12" spans="1:5" x14ac:dyDescent="0.25">
      <c r="A12" s="1"/>
      <c r="B12" s="72" t="s">
        <v>228</v>
      </c>
      <c r="C12" s="73">
        <v>310464</v>
      </c>
      <c r="D12" s="14" t="s">
        <v>3</v>
      </c>
      <c r="E12" s="1"/>
    </row>
    <row r="13" spans="1:5" x14ac:dyDescent="0.25">
      <c r="A13" s="1"/>
      <c r="B13" s="72" t="s">
        <v>229</v>
      </c>
      <c r="C13" s="73">
        <v>125788</v>
      </c>
      <c r="D13" s="14" t="s">
        <v>3</v>
      </c>
      <c r="E13" s="1"/>
    </row>
    <row r="14" spans="1:5" x14ac:dyDescent="0.25">
      <c r="A14" s="1"/>
      <c r="B14" s="72" t="s">
        <v>230</v>
      </c>
      <c r="C14" s="73">
        <v>10785</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27247257</v>
      </c>
      <c r="D20" s="13" t="s">
        <v>3</v>
      </c>
      <c r="E20" s="1"/>
    </row>
    <row r="21" spans="1:5" x14ac:dyDescent="0.25">
      <c r="A21" s="1"/>
      <c r="B21" s="33" t="s">
        <v>168</v>
      </c>
      <c r="C21" s="12">
        <f>C20*(1+'Fane 15. Nøgletal'!C10)^2</f>
        <v>30980013.773322329</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5957201</v>
      </c>
      <c r="D25" s="14" t="s">
        <v>3</v>
      </c>
      <c r="E25" s="1"/>
    </row>
    <row r="26" spans="1:5" x14ac:dyDescent="0.25">
      <c r="A26" s="1"/>
      <c r="B26" s="37" t="s">
        <v>83</v>
      </c>
      <c r="C26" s="9">
        <v>5877962</v>
      </c>
      <c r="D26" s="14" t="s">
        <v>3</v>
      </c>
      <c r="E26" s="1"/>
    </row>
    <row r="27" spans="1:5" x14ac:dyDescent="0.25">
      <c r="A27" s="1"/>
      <c r="B27" s="37" t="s">
        <v>148</v>
      </c>
      <c r="C27" s="9">
        <v>5878738</v>
      </c>
      <c r="D27" s="14" t="s">
        <v>3</v>
      </c>
      <c r="E27" s="1"/>
    </row>
    <row r="28" spans="1:5" x14ac:dyDescent="0.25">
      <c r="A28" s="1"/>
      <c r="B28" s="34" t="s">
        <v>169</v>
      </c>
      <c r="C28" s="9">
        <v>5879530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e3P3R8TGoCJ4g/gafBkmViJqYMvSFkmsy9jpD06TmGW2XTYMcjaZoL1Mixb3vlrLJ1aJ2b/Ltj4+UlcV9sfhxQ==" saltValue="4ogp5Nofe3TDbGmBldeqo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8072373.9437444955</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135124601.100238</v>
      </c>
      <c r="D20" s="14" t="s">
        <v>3</v>
      </c>
      <c r="E20" s="1"/>
    </row>
    <row r="21" spans="1:5" x14ac:dyDescent="0.25">
      <c r="A21" s="1"/>
      <c r="B21" s="65" t="s">
        <v>207</v>
      </c>
      <c r="C21" s="9">
        <v>130003170</v>
      </c>
      <c r="D21" s="14" t="s">
        <v>3</v>
      </c>
      <c r="E21" s="1"/>
    </row>
    <row r="22" spans="1:5" x14ac:dyDescent="0.25">
      <c r="A22" s="1"/>
      <c r="B22" s="65" t="s">
        <v>29</v>
      </c>
      <c r="C22" s="9">
        <v>0</v>
      </c>
      <c r="D22" s="14" t="s">
        <v>3</v>
      </c>
      <c r="E22" s="1"/>
    </row>
    <row r="23" spans="1:5" x14ac:dyDescent="0.25">
      <c r="A23" s="1"/>
      <c r="B23" s="82" t="s">
        <v>208</v>
      </c>
      <c r="C23" s="57">
        <f>C20-C21-C22</f>
        <v>5121431.1002379954</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NfnVgsOP9/a/yIv3zzL2rMJB5JZhCkcR3UkTMVaosgDtldweKBODX/aXWHQS+4Zho3RNgHhEryqn2/OMrIRKbw==" saltValue="RXr4AN3OK9ZI70ICfeBnJ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MAesx8ezD8RVwzdBAuXxSGrt0xK8CRJaPaxbBTsZjJ+du8nuIirlLcJdoQTcCWcQ+9qdRvDLWZXh9G7vFFC0Q==" saltValue="E/kd7Bglxr501qUQBYt6G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5875724</v>
      </c>
      <c r="D13" s="8" t="s">
        <v>3</v>
      </c>
      <c r="E13" s="1"/>
    </row>
    <row r="14" spans="1:5" ht="14.25" customHeight="1" x14ac:dyDescent="0.25">
      <c r="A14" s="1"/>
      <c r="B14" s="65" t="s">
        <v>173</v>
      </c>
      <c r="C14" s="7">
        <v>5021106</v>
      </c>
      <c r="D14" s="8" t="s">
        <v>3</v>
      </c>
      <c r="E14" s="1"/>
    </row>
    <row r="15" spans="1:5" ht="14.25" customHeight="1" x14ac:dyDescent="0.25">
      <c r="A15" s="1"/>
      <c r="B15" s="82" t="s">
        <v>48</v>
      </c>
      <c r="C15" s="10">
        <f>C14-C13</f>
        <v>-854618</v>
      </c>
      <c r="D15" s="11" t="s">
        <v>3</v>
      </c>
      <c r="E15" s="1"/>
    </row>
    <row r="16" spans="1:5" ht="14.25" customHeight="1" x14ac:dyDescent="0.25">
      <c r="A16" s="1"/>
      <c r="B16" s="33" t="s">
        <v>174</v>
      </c>
      <c r="C16" s="12">
        <f>C11+C15</f>
        <v>-854618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TBMHw0R+FrhQbpyxGCiK6XgXTkHytzk2kbP+sx+DZ3UQvbjITOKNTY8TdMQ28U/CK0LhKa9qx1AHxDiCBl3CLQ==" saltValue="eWG5/o2DneNovvCLTDrjH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4k3xDrDcHZNS3JSh8Y9qCh9qFVtSTdEOOrUvThwH4QkcPMdlh0Jns1l+QVcYu6fyxhl3uoSfggoZIhL3NBH0hg==" saltValue="k8sCVUv3jDwt6igOlfgPR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232</v>
      </c>
      <c r="C11" s="21">
        <v>11205.83</v>
      </c>
      <c r="D11" s="14" t="s">
        <v>3</v>
      </c>
      <c r="E11" s="9">
        <v>202954.43000000002</v>
      </c>
      <c r="F11" s="14" t="s">
        <v>3</v>
      </c>
      <c r="G11" s="1"/>
    </row>
    <row r="12" spans="1:7" x14ac:dyDescent="0.25">
      <c r="A12" s="1"/>
      <c r="B12" s="24" t="s">
        <v>233</v>
      </c>
      <c r="C12" s="21">
        <v>0</v>
      </c>
      <c r="D12" s="14" t="s">
        <v>3</v>
      </c>
      <c r="E12" s="9">
        <v>31436.29</v>
      </c>
      <c r="F12" s="14" t="s">
        <v>3</v>
      </c>
      <c r="G12" s="1"/>
    </row>
    <row r="13" spans="1:7" x14ac:dyDescent="0.25">
      <c r="A13" s="1"/>
      <c r="B13" s="24" t="s">
        <v>234</v>
      </c>
      <c r="C13" s="21">
        <v>0</v>
      </c>
      <c r="D13" s="14" t="s">
        <v>3</v>
      </c>
      <c r="E13" s="9">
        <v>1101335.8699999999</v>
      </c>
      <c r="F13" s="14" t="s">
        <v>3</v>
      </c>
      <c r="G13" s="1"/>
    </row>
    <row r="14" spans="1:7" x14ac:dyDescent="0.25">
      <c r="A14" s="1"/>
      <c r="B14" s="24" t="s">
        <v>235</v>
      </c>
      <c r="C14" s="21">
        <v>27413.53</v>
      </c>
      <c r="D14" s="14" t="s">
        <v>3</v>
      </c>
      <c r="E14" s="9">
        <v>258726.57</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38619.360000000001</v>
      </c>
      <c r="D19" s="13" t="s">
        <v>3</v>
      </c>
      <c r="E19" s="12">
        <f>SUM(E10:E18)</f>
        <v>1594453.16</v>
      </c>
      <c r="F19" s="13" t="s">
        <v>3</v>
      </c>
      <c r="G19" s="1"/>
    </row>
    <row r="20" spans="1:7" x14ac:dyDescent="0.25">
      <c r="A20" s="1"/>
      <c r="B20" s="33" t="s">
        <v>175</v>
      </c>
      <c r="C20" s="12">
        <f>C19*(1+'Fane 15. Nøgletal'!C10)</f>
        <v>41179.823568</v>
      </c>
      <c r="D20" s="13" t="s">
        <v>3</v>
      </c>
      <c r="E20" s="12">
        <f>E19*(1+'Fane 15. Nøgletal'!C10)</f>
        <v>1700165.404508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B7lWJNJbSum3o5fq5xp3Zi3fPHD1GVZ3DXxGde84ZJmP9g6w5+BA73M5WNQNHbg7LHTbdp/Lwp5GW68iynrmA==" saltValue="yzKaoJ7x8j8ysmdoaC7pu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236</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Si86iYe3TVZUqroidAElzIZ5Dva3w031u10R+b6eLnvurw9X5rgzbX+x52yfeAHYg6yOSsjj01g5FYapj8t4w==" saltValue="SzYTawtmcQTqWjqf1hAkb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ikVmUJV3onzMY6K+4CcDwGnZEFc5M94MqM+2uGPemufErgHsTJAwTYMoJLwNAsO0tMYorMers1I15H4Uug2IPg==" saltValue="dkRMd9K5PUQs9C7EZzWJk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8/DieCfdOV9YCt7Op/5QkLzVpT8eH9KurV1twF9VgkxNbTpQBuDTE5BQ/uFvWfXDNjOAOygc9Xh9ahIIBy1pfA==" saltValue="ay41Hs1mglL7rvmzGaD0l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vR/y9YsbZpKBx0eF8JRQR8Yg2G/ALVp0fJ0J0awS8p5/re+Mb3zVRUKe7tzz60FmegvBPnQFmVFOceXjCN0aw==" saltValue="whzSBfrSKx5jLyRo+yDnG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94746957.367590278</v>
      </c>
      <c r="D9" s="8" t="s">
        <v>3</v>
      </c>
      <c r="E9" s="1"/>
    </row>
    <row r="10" spans="1:5" ht="17.25" customHeight="1" x14ac:dyDescent="0.25">
      <c r="A10" s="1"/>
      <c r="B10" s="64" t="s">
        <v>35</v>
      </c>
      <c r="C10" s="7">
        <f>'Fane 11.1. Varige tillæg'!C20</f>
        <v>41179.823568</v>
      </c>
      <c r="D10" s="8" t="s">
        <v>3</v>
      </c>
      <c r="E10" s="1"/>
    </row>
    <row r="11" spans="1:5" ht="17.25" customHeight="1" x14ac:dyDescent="0.25">
      <c r="A11" s="1"/>
      <c r="B11" s="64" t="s">
        <v>36</v>
      </c>
      <c r="C11" s="9">
        <f>'Fane 11.1. Varige tillæg'!E20</f>
        <v>1700165.404508</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7771005.3439227333</v>
      </c>
      <c r="D16" s="8" t="s">
        <v>3</v>
      </c>
      <c r="E16" s="1"/>
    </row>
    <row r="17" spans="1:5" ht="17.25" customHeight="1" x14ac:dyDescent="0.25">
      <c r="A17" s="1"/>
      <c r="B17" s="64" t="s">
        <v>10</v>
      </c>
      <c r="C17" s="38">
        <f>-SUM(C9,C10:C16)*'Fane 5. Individuelt eff. krav'!C9</f>
        <v>-2085186.1587917802</v>
      </c>
      <c r="D17" s="8" t="s">
        <v>3</v>
      </c>
      <c r="E17" s="1"/>
    </row>
    <row r="18" spans="1:5" ht="17.25" customHeight="1" x14ac:dyDescent="0.25">
      <c r="A18" s="1"/>
      <c r="B18" s="64" t="s">
        <v>22</v>
      </c>
      <c r="C18" s="38">
        <f>-'Fane 4.1. Gen. krav - drift'!C17</f>
        <v>-412296.82125643402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101761824.9595408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36937214.773322329</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-854618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137844421.73286313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9WJvuBdLThWpN3livU66vdlNlPMtuefWxek1HilKvwKzzlJdnWv6nA5HghzxwasJ79xSRKXj8uSGcNXU/SboTQ==" saltValue="rSahlxHU7a7L1WZNVRotP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BGvMhrCFcJrWsxyjn8MrCuW7rO+uimLBp8RH9nif/fHQX+tVxCSPl9kT1mrNgtIryJg+AqAXU1dptM1i9wF9Sg==" saltValue="6jTkg7q4xgOiDc90BegL/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101761824.9595408</v>
      </c>
      <c r="D9" s="8" t="s">
        <v>3</v>
      </c>
      <c r="E9" s="1"/>
    </row>
    <row r="10" spans="1:5" ht="15" customHeight="1" x14ac:dyDescent="0.25">
      <c r="A10" s="1"/>
      <c r="B10" s="26" t="s">
        <v>19</v>
      </c>
      <c r="C10" s="7">
        <f>C9*'Fane 15. Nøgletal'!C10</f>
        <v>6746808.994817555</v>
      </c>
      <c r="D10" s="8" t="s">
        <v>3</v>
      </c>
      <c r="E10" s="1"/>
    </row>
    <row r="11" spans="1:5" ht="15" customHeight="1" x14ac:dyDescent="0.25">
      <c r="A11" s="1"/>
      <c r="B11" s="26" t="s">
        <v>10</v>
      </c>
      <c r="C11" s="9">
        <f>-SUM(C9:C10)*'Fane 5. Individuelt eff. krav'!C9</f>
        <v>-2170172.6790871671</v>
      </c>
      <c r="D11" s="8" t="s">
        <v>3</v>
      </c>
      <c r="E11" s="1"/>
    </row>
    <row r="12" spans="1:5" ht="15" customHeight="1" x14ac:dyDescent="0.25">
      <c r="A12" s="1"/>
      <c r="B12" s="26" t="s">
        <v>22</v>
      </c>
      <c r="C12" s="9">
        <f>-'Fane 4.1. Gen. krav - drift'!C22</f>
        <v>-430839.45849562087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105907621.81677558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38911950.686493605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144819572.5032692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2PZQbGMN0OOaGlvMnaWgAM9xxC0duTQb4M4Ibk7h8dpi1HjyGFJB1cQ1+kFq7w9oX8tp/381ZGOD0yoppDqWg==" saltValue="L6vFprmimX38QRyNyapkf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105907621.81677558</v>
      </c>
      <c r="D9" s="8" t="s">
        <v>3</v>
      </c>
      <c r="E9" s="1"/>
    </row>
    <row r="10" spans="1:5" ht="15" customHeight="1" x14ac:dyDescent="0.25">
      <c r="A10" s="1"/>
      <c r="B10" s="26" t="s">
        <v>19</v>
      </c>
      <c r="C10" s="7">
        <f>SUM(C9:C9)*'Fane 15. Nøgletal'!C10</f>
        <v>7021675.3264522208</v>
      </c>
      <c r="D10" s="8" t="s">
        <v>3</v>
      </c>
      <c r="E10" s="1"/>
    </row>
    <row r="11" spans="1:5" ht="15" customHeight="1" x14ac:dyDescent="0.25">
      <c r="A11" s="1"/>
      <c r="B11" s="26" t="s">
        <v>10</v>
      </c>
      <c r="C11" s="9">
        <f>-SUM(C9:C10)*'Fane 5. Individuelt eff. krav'!C9</f>
        <v>-2258585.9428645559</v>
      </c>
      <c r="D11" s="8" t="s">
        <v>3</v>
      </c>
      <c r="E11" s="1"/>
    </row>
    <row r="12" spans="1:5" ht="15" customHeight="1" x14ac:dyDescent="0.25">
      <c r="A12" s="1"/>
      <c r="B12" s="26" t="s">
        <v>22</v>
      </c>
      <c r="C12" s="9">
        <f>-'Fane 4.1. Gen. krav - drift'!C27</f>
        <v>-450216.03230200289</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110220495.16806124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41102880.136408128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151323375.30446938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bS8TwthgLbciOUP3S2AZAkDjGdfmt8Wn7KPBqwvmAUrU2kD78SAg9+PeCw34kBX4DRQNMQsbmsJ/fejehqAEw==" saltValue="S1azmx1fpRG4L1DRm7BWt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110220495.16806124</v>
      </c>
      <c r="D9" s="8" t="s">
        <v>3</v>
      </c>
      <c r="E9" s="1"/>
    </row>
    <row r="10" spans="1:5" ht="15" customHeight="1" x14ac:dyDescent="0.25">
      <c r="A10" s="1"/>
      <c r="B10" s="26" t="s">
        <v>19</v>
      </c>
      <c r="C10" s="7">
        <f>SUM(C9:C9)*'Fane 15. Nøgletal'!C10</f>
        <v>7307618.8296424598</v>
      </c>
      <c r="D10" s="8" t="s">
        <v>3</v>
      </c>
      <c r="E10" s="1"/>
    </row>
    <row r="11" spans="1:5" ht="15" customHeight="1" x14ac:dyDescent="0.25">
      <c r="A11" s="1"/>
      <c r="B11" s="26" t="s">
        <v>10</v>
      </c>
      <c r="C11" s="9">
        <f>-SUM(C9:C10)*'Fane 5. Individuelt eff. krav'!C9</f>
        <v>-2350562.279954074</v>
      </c>
      <c r="D11" s="8" t="s">
        <v>3</v>
      </c>
      <c r="E11" s="1"/>
    </row>
    <row r="12" spans="1:5" ht="15" customHeight="1" x14ac:dyDescent="0.25">
      <c r="A12" s="1"/>
      <c r="B12" s="26" t="s">
        <v>22</v>
      </c>
      <c r="C12" s="9">
        <f>-'Fane 4.1. Gen. krav - drift'!C32</f>
        <v>-470464.04813875316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114707087.66961087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43439032.760051988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158146120.42966285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WE8eYitEZHyxxNzmEHNGoNeTwViaEynMfcqEEvTKkftLPIRYCFS2lt/kJjypvcJz/GzLstK0lNwJBpIr6vFg==" saltValue="cFj2EB7Dc/cnrRW9HVn33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89045907.856365159</v>
      </c>
      <c r="D9" s="8" t="s">
        <v>3</v>
      </c>
      <c r="E9" s="1"/>
    </row>
    <row r="10" spans="1:5" ht="15" customHeight="1" x14ac:dyDescent="0.25">
      <c r="A10" s="1"/>
      <c r="B10" s="64" t="s">
        <v>35</v>
      </c>
      <c r="C10" s="7">
        <v>147222.86885600002</v>
      </c>
      <c r="D10" s="8" t="s">
        <v>3</v>
      </c>
      <c r="E10" s="1"/>
    </row>
    <row r="11" spans="1:5" ht="15" customHeight="1" x14ac:dyDescent="0.25">
      <c r="A11" s="1"/>
      <c r="B11" s="64" t="s">
        <v>36</v>
      </c>
      <c r="C11" s="9">
        <v>626378.59110399999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7257416.3527590726</v>
      </c>
      <c r="D16" s="8" t="s">
        <v>3</v>
      </c>
      <c r="E16" s="1"/>
    </row>
    <row r="17" spans="1:5" ht="15" customHeight="1" x14ac:dyDescent="0.25">
      <c r="A17" s="1"/>
      <c r="B17" s="64" t="s">
        <v>10</v>
      </c>
      <c r="C17" s="38">
        <v>-1941538.5133816847</v>
      </c>
      <c r="D17" s="8" t="s">
        <v>3</v>
      </c>
      <c r="E17" s="1"/>
    </row>
    <row r="18" spans="1:5" ht="15" customHeight="1" x14ac:dyDescent="0.25">
      <c r="A18" s="1"/>
      <c r="B18" s="64" t="s">
        <v>22</v>
      </c>
      <c r="C18" s="38">
        <v>-388429.78811227297</v>
      </c>
      <c r="D18" s="8" t="s">
        <v>3</v>
      </c>
      <c r="E18" s="1"/>
    </row>
    <row r="19" spans="1:5" ht="15" customHeight="1" x14ac:dyDescent="0.25">
      <c r="A19" s="1"/>
      <c r="B19" s="64" t="s">
        <v>23</v>
      </c>
      <c r="C19" s="38">
        <v>0</v>
      </c>
      <c r="D19" s="8" t="s">
        <v>3</v>
      </c>
      <c r="E19" s="43"/>
    </row>
    <row r="20" spans="1:5" ht="15" customHeight="1" x14ac:dyDescent="0.25">
      <c r="A20" s="1"/>
      <c r="B20" s="82" t="s">
        <v>21</v>
      </c>
      <c r="C20" s="10">
        <v>94746957.367590278</v>
      </c>
      <c r="D20" s="11" t="s">
        <v>3</v>
      </c>
      <c r="E20" s="1"/>
    </row>
    <row r="21" spans="1:5" ht="15" customHeight="1" x14ac:dyDescent="0.25">
      <c r="A21" s="1"/>
      <c r="B21" s="33" t="s">
        <v>12</v>
      </c>
      <c r="C21" s="28"/>
      <c r="D21" s="19"/>
      <c r="E21" s="1"/>
    </row>
    <row r="22" spans="1:5" ht="15" customHeight="1" x14ac:dyDescent="0.25">
      <c r="A22" s="1"/>
      <c r="B22" s="31" t="s">
        <v>12</v>
      </c>
      <c r="C22" s="10">
        <v>38972171.16502592</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-782837</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132936291.5326162</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naca3uQ/4d595nA20x6jAOLX1M7/e8+E+xh2s8MDwea6QbX5PEGiC/ZB5GFvSLgYnp9REsjJMmRVdcq/KKTdwg==" saltValue="/h2kMjs3YexrK9bC7MO/3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19262371.101120252</v>
      </c>
      <c r="D9" s="14" t="s">
        <v>3</v>
      </c>
      <c r="E9" s="1"/>
    </row>
    <row r="10" spans="1:5" x14ac:dyDescent="0.25">
      <c r="A10" s="1"/>
      <c r="B10" s="65" t="s">
        <v>125</v>
      </c>
      <c r="C10" s="23">
        <f>('Fane 3. Omkostninger i ØR2024'!C10+'Fane 3. Omkostninger i ØR2024'!C12+'Fane 3. Omkostninger i ØR2024'!C14)*(1+'Fane 15. Nøgletal'!C9)</f>
        <v>159118.47665956483</v>
      </c>
      <c r="D10" s="14" t="s">
        <v>3</v>
      </c>
      <c r="E10" s="1"/>
    </row>
    <row r="11" spans="1:5" x14ac:dyDescent="0.25">
      <c r="A11" s="1"/>
      <c r="B11" s="65" t="s">
        <v>131</v>
      </c>
      <c r="C11" s="23">
        <f>C9*'Fane 15. Nøgletal'!C21+C10*'Fane 15. Nøgletal'!C21</f>
        <v>388429.79155559634</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20570931.01695114</v>
      </c>
      <c r="D15" s="14" t="s">
        <v>3</v>
      </c>
      <c r="E15" s="1"/>
    </row>
    <row r="16" spans="1:5" x14ac:dyDescent="0.25">
      <c r="A16" s="1"/>
      <c r="B16" s="65" t="s">
        <v>184</v>
      </c>
      <c r="C16" s="23">
        <f>('Fane 2.1. Økonomisk ramme 2025'!C10+'Fane 2.1. Økonomisk ramme 2025'!C12+'Fane 2.1. Økonomisk ramme 2025'!C14)*(1+'Fane 15. Nøgletal'!C10)</f>
        <v>43910.045870558402</v>
      </c>
      <c r="D16" s="14" t="s">
        <v>3</v>
      </c>
      <c r="E16" s="1"/>
    </row>
    <row r="17" spans="1:5" x14ac:dyDescent="0.25">
      <c r="A17" s="1"/>
      <c r="B17" s="65" t="s">
        <v>132</v>
      </c>
      <c r="C17" s="23">
        <f>C15*'Fane 15. Nøgletal'!C21+C16*'Fane 15. Nøgletal'!C21</f>
        <v>412296.82125643402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21541972.924781043</v>
      </c>
      <c r="D21" s="14" t="s">
        <v>3</v>
      </c>
      <c r="E21" s="1"/>
    </row>
    <row r="22" spans="1:5" x14ac:dyDescent="0.25">
      <c r="A22" s="1"/>
      <c r="B22" s="65" t="s">
        <v>196</v>
      </c>
      <c r="C22" s="23">
        <f>C21*'Fane 15. Nøgletal'!C21</f>
        <v>430839.45849562087</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22510801.615100145</v>
      </c>
      <c r="D26" s="14" t="s">
        <v>3</v>
      </c>
      <c r="E26" s="1"/>
    </row>
    <row r="27" spans="1:5" x14ac:dyDescent="0.25">
      <c r="A27" s="1"/>
      <c r="B27" s="65" t="s">
        <v>194</v>
      </c>
      <c r="C27" s="23">
        <f>C26*'Fane 15. Nøgletal'!C21</f>
        <v>450216.03230200289</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23523202.406937659</v>
      </c>
      <c r="D31" s="14" t="s">
        <v>3</v>
      </c>
      <c r="E31" s="1"/>
    </row>
    <row r="32" spans="1:5" x14ac:dyDescent="0.25">
      <c r="A32" s="1"/>
      <c r="B32" s="65" t="s">
        <v>195</v>
      </c>
      <c r="C32" s="23">
        <f>C31*'Fane 15. Nøgletal'!C21</f>
        <v>470464.04813875316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kj6Y6B3uWMe77qom6/wbJ7gARpadKx/o0ZKKP1+n/oDl8DDkHDjQonOneqtlYkaUmxjrYmtunUpyatCiEGzUA==" saltValue="GhJCoDPt4hF62IRkbBpkt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84070998.199188352</v>
      </c>
      <c r="D9" s="14" t="s">
        <v>3</v>
      </c>
      <c r="E9" s="1"/>
    </row>
    <row r="10" spans="1:5" x14ac:dyDescent="0.25">
      <c r="A10" s="1"/>
      <c r="B10" s="65" t="s">
        <v>126</v>
      </c>
      <c r="C10" s="23">
        <f>('Fane 3. Omkostninger i ØR2024'!C11+'Fane 3. Omkostninger i ØR2024'!C13+'Fane 3. Omkostninger i ØR2024'!C15)*(1+'Fane 15. Nøgletal'!C9)</f>
        <v>676989.98126520321</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91595625.625434205</v>
      </c>
      <c r="D15" s="14" t="s">
        <v>3</v>
      </c>
      <c r="E15" s="1"/>
    </row>
    <row r="16" spans="1:5" x14ac:dyDescent="0.25">
      <c r="A16" s="1"/>
      <c r="B16" s="65" t="s">
        <v>185</v>
      </c>
      <c r="C16" s="23">
        <f>('Fane 2.1. Økonomisk ramme 2025'!C11+'Fane 2.1. Økonomisk ramme 2025'!C13+'Fane 2.1. Økonomisk ramme 2025'!C15)*(1+'Fane 15. Nøgletal'!C10)</f>
        <v>1812886.3708268804</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99601496.341613203</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106205075.54906216</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113246472.05796498</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BN6PBkFBTfBtcdBVp4bB2oXsWISQL8HSM57xULOZbgKPBdj8TIzbBlzhX+cy6J88uwWvGy0tLAjp8o23Lp+OA==" saltValue="WAdgjLi2v1sYD4+aXKz19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0.02</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WHhDG18ZEVSna6Hj6TeAEa4WFYMNBHmXipBk4e6zsjoUYGVxP1ZJedZO41uJX1kyXnDlLlg+2g8ITfuj1HWk+w==" saltValue="DLbEKf7X89RkxWDc+biXb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2024-08-20T06:27:04Z</dcterms:modified>
</cp:coreProperties>
</file>